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LCUL TAXA SALUBRITATE cfm ANRSC\pt transmis la UAT - uri cu tarife noi dupa AGA 18.08.2025\pt transmis la UAT-uri FINAL FINAL FINAL\"/>
    </mc:Choice>
  </mc:AlternateContent>
  <xr:revisionPtr revIDLastSave="0" documentId="13_ncr:1_{AD0F6428-0936-407C-8EE0-7A94C4D2DE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CEC">'1'!$G$25</definedName>
    <definedName name="den">'1'!$G$23</definedName>
    <definedName name="MEN">'1'!$H$15</definedName>
    <definedName name="OAT">'1'!$H$15</definedName>
    <definedName name="PJ">'1'!$H$16</definedName>
    <definedName name="_xlnm.Print_Area" localSheetId="0">'1'!$A$1:$K$176</definedName>
    <definedName name="SIM">'1'!$H$16</definedName>
    <definedName name="TVA">'1'!$G$26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1" l="1"/>
  <c r="G60" i="1" s="1"/>
  <c r="G12" i="1"/>
  <c r="G135" i="1"/>
  <c r="G98" i="1"/>
  <c r="G136" i="1" s="1"/>
  <c r="G36" i="1" l="1"/>
  <c r="H36" i="1" l="1"/>
  <c r="G50" i="1"/>
  <c r="G57" i="1"/>
  <c r="G58" i="1" s="1"/>
  <c r="H50" i="1" l="1"/>
  <c r="G87" i="1"/>
  <c r="G173" i="1"/>
  <c r="G168" i="1"/>
  <c r="G123" i="1"/>
  <c r="G119" i="1"/>
  <c r="G117" i="1"/>
  <c r="G37" i="1"/>
  <c r="H37" i="1" s="1"/>
  <c r="G21" i="1"/>
  <c r="G16" i="1"/>
  <c r="G124" i="1"/>
  <c r="G112" i="1"/>
  <c r="G151" i="1"/>
  <c r="H168" i="1"/>
  <c r="G111" i="1"/>
  <c r="G14" i="1"/>
  <c r="G18" i="1" l="1"/>
  <c r="G38" i="1"/>
  <c r="H38" i="1" s="1"/>
  <c r="H39" i="1" s="1"/>
  <c r="H52" i="1" s="1"/>
  <c r="G56" i="1"/>
  <c r="I168" i="1"/>
  <c r="G121" i="1"/>
  <c r="G125" i="1"/>
  <c r="G93" i="1"/>
  <c r="G122" i="1" s="1"/>
  <c r="G128" i="1"/>
  <c r="G153" i="1" s="1"/>
  <c r="G127" i="1"/>
  <c r="G152" i="1" s="1"/>
  <c r="G39" i="1" l="1"/>
  <c r="G52" i="1" s="1"/>
  <c r="G53" i="1" s="1"/>
  <c r="G68" i="1"/>
  <c r="G107" i="1" s="1"/>
  <c r="G108" i="1"/>
  <c r="H53" i="1"/>
  <c r="H167" i="1"/>
  <c r="G81" i="1"/>
  <c r="G109" i="1" s="1"/>
  <c r="H172" i="1" l="1"/>
  <c r="G116" i="1"/>
  <c r="G118" i="1"/>
  <c r="G97" i="1"/>
  <c r="G99" i="1" l="1"/>
  <c r="G110" i="1" s="1"/>
  <c r="G113" i="1" s="1"/>
  <c r="G134" i="1" s="1"/>
  <c r="G137" i="1" s="1"/>
  <c r="G158" i="1" s="1"/>
  <c r="G159" i="1" s="1"/>
  <c r="G129" i="1"/>
  <c r="G154" i="1" s="1"/>
  <c r="G155" i="1" s="1"/>
  <c r="G156" i="1" s="1"/>
  <c r="G126" i="1"/>
  <c r="H173" i="1"/>
  <c r="I173" i="1" s="1"/>
  <c r="G120" i="1" l="1"/>
  <c r="G130" i="1" s="1"/>
  <c r="G142" i="1"/>
  <c r="G143" i="1" s="1"/>
  <c r="G167" i="1"/>
  <c r="G169" i="1" s="1"/>
  <c r="G172" i="1" l="1"/>
  <c r="G147" i="1"/>
  <c r="G148" i="1" s="1"/>
  <c r="G149" i="1" s="1"/>
  <c r="I167" i="1"/>
  <c r="I169" i="1" s="1"/>
  <c r="G144" i="1"/>
  <c r="G174" i="1" l="1"/>
  <c r="I172" i="1"/>
  <c r="I174" i="1" s="1"/>
  <c r="G161" i="1"/>
  <c r="G162" i="1"/>
</calcChain>
</file>

<file path=xl/sharedStrings.xml><?xml version="1.0" encoding="utf-8"?>
<sst xmlns="http://schemas.openxmlformats.org/spreadsheetml/2006/main" count="258" uniqueCount="132">
  <si>
    <t>Tarif depozitare</t>
  </si>
  <si>
    <t>se completeaza</t>
  </si>
  <si>
    <t>contin formule</t>
  </si>
  <si>
    <t>totaluri</t>
  </si>
  <si>
    <t>SPECIFICAȚII</t>
  </si>
  <si>
    <t>nr.</t>
  </si>
  <si>
    <t>%</t>
  </si>
  <si>
    <t xml:space="preserve">Activitatea de colectare separată și transportul separat al deșeurilor menajere și al deșeurilor similare </t>
  </si>
  <si>
    <t>Activitatea de sortare a deșeurilor de hârtie, carton, metal, plastic și sticlă colectate separat din deșeurile municipale în stații de sortare</t>
  </si>
  <si>
    <t>Cantitate de compost valorificata</t>
  </si>
  <si>
    <t>Activitatea de tratarea mecano-biologică a deșeurilor reziduale în instalațiile de tratare mecano-biologică</t>
  </si>
  <si>
    <t>Activitatea de depozitare</t>
  </si>
  <si>
    <t>Utilizatori non-casnici</t>
  </si>
  <si>
    <t>Utilizatori casnici</t>
  </si>
  <si>
    <t>VENITURI DIN CONTRIBUTIA OIREP</t>
  </si>
  <si>
    <t>lei/mc</t>
  </si>
  <si>
    <t>Valoare CEC</t>
  </si>
  <si>
    <t>DA</t>
  </si>
  <si>
    <t>NU</t>
  </si>
  <si>
    <t>Cheltuieli de tratare a reziduurilor de la stațiile de sortare</t>
  </si>
  <si>
    <t>Cheltuieli de depozitare a reziduurilor de la stațiile de sortare</t>
  </si>
  <si>
    <t>Cota TVA</t>
  </si>
  <si>
    <t>TAXA UTILIZATORI CASNICI</t>
  </si>
  <si>
    <t>TOTAL CEC UTILIZATORI CASNICI (exclusiv TVA)</t>
  </si>
  <si>
    <t>TOTAL CEC UTILIZATORI CASNICI (inclusiv TVA)</t>
  </si>
  <si>
    <t>Reducere contributie OIREP (exclusiv TVA)</t>
  </si>
  <si>
    <t>Reducere contributie OIREP (inclusiv TVA)</t>
  </si>
  <si>
    <t>TAXA UTILIZATORI NON-CASNICI</t>
  </si>
  <si>
    <t>Taxa (lei/mc)</t>
  </si>
  <si>
    <t>Număr locuitori din zona de colectare</t>
  </si>
  <si>
    <t>Indice mediu de generare populație</t>
  </si>
  <si>
    <t>Structura deșeuri pe categorii de utilizatori</t>
  </si>
  <si>
    <t>Procent ambalaje în total deșeuri din hârtie, carton, metal, plastic și sticlă</t>
  </si>
  <si>
    <t>Cantitate de deșeuri din hârtie, carton, metal, plastic și sticlă valorificata</t>
  </si>
  <si>
    <t>Tarif colectare biodeșeuri</t>
  </si>
  <si>
    <t>Tarif colectare deșeuri reziduale</t>
  </si>
  <si>
    <t>Activitatea de transfer a deșeurilor municipale în statii de transfer</t>
  </si>
  <si>
    <t>Tarif transfer deșeuri din hârtie, carton, metal, plastic și sticlă</t>
  </si>
  <si>
    <t>Tarif transfer biodeșeuri</t>
  </si>
  <si>
    <t>Tarif transfer deșeuri reziduale</t>
  </si>
  <si>
    <t>Deșeuri menajere</t>
  </si>
  <si>
    <t>Deșeuri similare</t>
  </si>
  <si>
    <t>CALCULUL CANTITATILOR DE DEȘEURI</t>
  </si>
  <si>
    <t>TARIFE DISTINCTE PENTRU ACTIVITATILE DESFASURATE DE OPERATORI PENTRU GESTIONARE A DEȘEURILOR MUNICIPALE</t>
  </si>
  <si>
    <t>kg/loc și zi</t>
  </si>
  <si>
    <t>Compozitie deșeuri menajere și similare</t>
  </si>
  <si>
    <t>Deșeuri reciclabile menajere și similare</t>
  </si>
  <si>
    <t>Biodeșeuri menajere și similare</t>
  </si>
  <si>
    <t>Deșeuri reziduale menajere și similare</t>
  </si>
  <si>
    <t>Deșeuri din hârtie, carton, metal, plastic și sticlă menajere și similare</t>
  </si>
  <si>
    <t>Tarif distinct pentru activitățile desfășurate de operatori pentru gestionarea deșeurilor reziduale și a biodeșeurilor</t>
  </si>
  <si>
    <t>tone/mc</t>
  </si>
  <si>
    <t>Reziduurile de la stația de sortare sunt tratate la TMB</t>
  </si>
  <si>
    <t>Reziduurile de la stația de compostare sunt tratate la TMB</t>
  </si>
  <si>
    <t>CANTITATE DE DEȘEURI GENERATĂ</t>
  </si>
  <si>
    <t>TOTAL CANTITATE DE DEȘEURI GENERATĂ</t>
  </si>
  <si>
    <t>Rate de capturare/cantități depozitate</t>
  </si>
  <si>
    <t>CANTITATE DE DEȘEURI COLECTATĂ</t>
  </si>
  <si>
    <t>TOTAL CANTITATE DE DEȘEURI COLECTATĂ</t>
  </si>
  <si>
    <t>În stația de sortare</t>
  </si>
  <si>
    <t>În statie de compostare</t>
  </si>
  <si>
    <t>În TMB</t>
  </si>
  <si>
    <t>În depozitul de deșeuri</t>
  </si>
  <si>
    <t>Cantitate de compost valorificată</t>
  </si>
  <si>
    <t>Cantitate de deșeuri din hârtie, carton, metal, plastic și sticlă valorificată</t>
  </si>
  <si>
    <t>Cantități de deșeuri intrate în instalații, din care:</t>
  </si>
  <si>
    <t>În instalații de digestie anaeroba</t>
  </si>
  <si>
    <t>Activitatea de tratare a biodeșeurilor colectate separat în instalații de compostare</t>
  </si>
  <si>
    <t>Activitatea de tratare a biodeșeurilor colectate separat în instalații de digestie anaeroba</t>
  </si>
  <si>
    <t>Cheltuieli de tratare a reziduurilor de la instalația de compostare</t>
  </si>
  <si>
    <t>Cheltuieli de depozitare a reziduurilor de la instalația de compostare</t>
  </si>
  <si>
    <t>Cheltuieli de depozitare a reziduurilor de la instalațiile de tratare a deșeurilor reziduale și a biodeșeurilor</t>
  </si>
  <si>
    <t>tone/lună</t>
  </si>
  <si>
    <t>lei/lună</t>
  </si>
  <si>
    <t>lei/pers și lună</t>
  </si>
  <si>
    <t>Volum (mc/lună)</t>
  </si>
  <si>
    <t>Cheltuiala (lei/lună)</t>
  </si>
  <si>
    <t>lei/tonă</t>
  </si>
  <si>
    <t>Taxa distinctă de gestionare a deșeurilor din hartie, carton, metal, plastic și sticla</t>
  </si>
  <si>
    <t>Taxa distinctă de gestionare a deșeurilor reziduale și a biodeșeurilor</t>
  </si>
  <si>
    <t>Tariful de facturare a activității de colectare a deșeurilor din hârtie, carton, metal, plastic și sticlă</t>
  </si>
  <si>
    <t xml:space="preserve">Tariful activității de sortare </t>
  </si>
  <si>
    <t>Tariful de facturare a activității de sortare</t>
  </si>
  <si>
    <t>Tariful activității de tratare a biodeșeurilor colectate separat</t>
  </si>
  <si>
    <t>Tariful de facturare a activității de compostare</t>
  </si>
  <si>
    <t>Tariful de facturare a activității de digestie anaeroba</t>
  </si>
  <si>
    <t>Tariful activității de TMB a deșeurilor reziduale</t>
  </si>
  <si>
    <t>Tariful de facturare a activității de TMB a deșeurilor reziduale</t>
  </si>
  <si>
    <t>Cheltuieli ale activităților de gestionare a deșeurilor reziduale și a biodeșeurilor</t>
  </si>
  <si>
    <t>SUMA DE ÎNCASAT DE LA UTILIZATORI CASNICI (exclusiv TVA)</t>
  </si>
  <si>
    <t>SUMA DE ÎNCASAT DE LA UTILIZATORI CASNICI (inclusiv TVA)</t>
  </si>
  <si>
    <t>SUMA DE ÎNCASAT DE LA UTILIZATORI NON-CASNICI (exclusiv TVA)</t>
  </si>
  <si>
    <t>TAXA DISTINCTĂ GESTIONARE A DEȘEURILOR REZIDUALE (exclusiv TVA)</t>
  </si>
  <si>
    <t>TAXA DISTINCTĂ GESTIONARE A DEȘEURILOR REZIDUALE (inclusiv TVA)</t>
  </si>
  <si>
    <t>Cheltuieli de depozitare a reziduurilor de la instalația de digestie anaerobă</t>
  </si>
  <si>
    <t>Exemplu de calcul a taxei de salubrizare, 
în cazul sistemelor de salubrizare cu instalații de tratare mecano-biologică</t>
  </si>
  <si>
    <t>Ponderea deșeurilor de hârtie, carton, metal, plastic și sticlă  colectate din fiecare UAT membră ADI, din zona de colectare</t>
  </si>
  <si>
    <t>Densitate medie a deșeurilor municipale</t>
  </si>
  <si>
    <t>Deșeuri de hârtie, carton, metal, plastic și sticlă menajere și similare</t>
  </si>
  <si>
    <t>Anexa nr. 8 la normele metodologice</t>
  </si>
  <si>
    <t>Cantitatea de deşeuri de hârtie și carton, plastic, metale și sticlă colectate separat ca procentaj din cantitatea totală generată de deșeuri de hârtie, metal, plastic și sticlă din deșeurile municipale</t>
  </si>
  <si>
    <t>Cantitatea de deșeuri sortate pregătită pentru reciclare, ca procentaj din cantitatea totală de deșeuri de hârtie, metal, plastic și sticlă colectate separat acceptată la stația de sortare</t>
  </si>
  <si>
    <t>Cantitatea de reziduuri destinate a fi eliminate prin depozitare ca procentaj din cantitatea totală de biodeșeuri acceptată la instalațiile de compostare</t>
  </si>
  <si>
    <t>Cantitatea deșeuri tratate destinate a fi eliminate prin depozitare ca procentaj din cantitatea totală de biodeșeuri colectate separat acceptată la instalațiile de digestie anaerobă</t>
  </si>
  <si>
    <t>Cantitatea deșeuri tratate biologic destinate a fi eliminate prin depozitare, ca procentaj din cantitatea totală de deșeuri reziduale acceptată la instalațiile de tratare mecano-biologică și/sau la instalațiile de tratare integrată a deșeurilor</t>
  </si>
  <si>
    <t>Cantitatea totală de deşeuri trimise la reciclare ca procentaj din cantitatea totală de deşeuri acceptate la tratare mecano-biologică</t>
  </si>
  <si>
    <t>Valoare activitate de colectare separata a deșeurilor din hârtie, carton, metal, plastic și sticlă</t>
  </si>
  <si>
    <t>Valoare activitate de transfer a deșeurilor din hârtie, carton, metal, plastic și sticlă</t>
  </si>
  <si>
    <t>Valoare activitate de sortare a deșeurilor din hârtie, carton, metal, plastic și sticlă</t>
  </si>
  <si>
    <t>Valoare activitate de colectare a deșeurilor reziduale</t>
  </si>
  <si>
    <t>Valoare activitate de colectare a biodeșeurilor</t>
  </si>
  <si>
    <t>Valoare activitate de transfer a deșeurilor reziduale</t>
  </si>
  <si>
    <t>Valoare activitate de transfer a biodeșeurilor</t>
  </si>
  <si>
    <t>Valoare activitate de compostare</t>
  </si>
  <si>
    <t>Valoare activitatea de digestie anaerobă</t>
  </si>
  <si>
    <t>Tarif distinct de gestionare a deșeurilor din hârtie, carton, metal, plastic și sticlă</t>
  </si>
  <si>
    <t>Venituri încasate de la OIREP</t>
  </si>
  <si>
    <t>TARIF DISTINCT DE GESTIONARE A DEȘEURILOR REZIDUALE ȘI A BIODEȘEURILOR</t>
  </si>
  <si>
    <t>TARIF DISTINCT DE GESTIONARE A DEȘEURILOR DIN HÂRTIE, CARTON, METAL, PLASTIC ȘI STICLĂ</t>
  </si>
  <si>
    <t>TAXA DISTINCTĂ GESTIONARE DEȘEURI DIN HÂRTIE, CARTON, METAL, PLASTIC ȘI STICLĂ (exclusiv TVA)</t>
  </si>
  <si>
    <t>TAXA DISTINCTĂ GESTIONARE DEȘEURI DIN HÂRTIE, CARTON, METAL, PLASTIC ȘI STICLĂ (inclusiv TVA)</t>
  </si>
  <si>
    <t>Tariful activității de colectare separată a deșeurilor de hârtie, carton, metal, plastic și sticlă</t>
  </si>
  <si>
    <t>Prețul mediu de valorificare a deșeurilor din hârtie, carton, metal, plastic și sticlă</t>
  </si>
  <si>
    <t>Prețul mediu de valorificare a compostului</t>
  </si>
  <si>
    <t>TARIFE ACTIVITĂȚI</t>
  </si>
  <si>
    <t xml:space="preserve">Tarif distinct pentru activitățile desfășurate de operatori pentru gestionare a deșeurilor de hârtie, carton, metal, plastic și sticlă colectate separat </t>
  </si>
  <si>
    <t>Cheltuieli ale activităților de gestionare a deșeurilor din hartie, carton, metal, plastic și sticlă</t>
  </si>
  <si>
    <t>CEC aferentă cantității de reziduuri de la stația de sortare trimisă la depozitare</t>
  </si>
  <si>
    <t>CEC aferentă cantității de reziduuri de la instalațiile de compostare trimisă la depozitare</t>
  </si>
  <si>
    <t>CEC aferentă cantității de reziduuri de la instalațiile de digestie anaeroba trimisă la depozitare</t>
  </si>
  <si>
    <t>CEC aferentă cantității de reziduuri de la instalațiile de tratare a deșeurilor reziduale trimisă la depozitare</t>
  </si>
  <si>
    <t>Valoare activitate de tratare a deșeurilor reziduale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</si>
</sst>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sz val="13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b/>
      <i/>
      <sz val="13"/>
      <color theme="1"/>
      <name val="Arial"/>
      <family val="2"/>
      <charset val="238"/>
    </font>
    <font>
      <sz val="13"/>
      <name val="Arial"/>
      <family val="2"/>
      <charset val="238"/>
    </font>
    <font>
      <sz val="13.5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4D8F4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164" fontId="2" fillId="2" borderId="0" xfId="0" applyNumberFormat="1" applyFont="1" applyFill="1"/>
    <xf numFmtId="3" fontId="2" fillId="2" borderId="0" xfId="0" applyNumberFormat="1" applyFont="1" applyFill="1"/>
    <xf numFmtId="3" fontId="3" fillId="2" borderId="0" xfId="0" applyNumberFormat="1" applyFont="1" applyFill="1"/>
    <xf numFmtId="3" fontId="2" fillId="3" borderId="1" xfId="0" applyNumberFormat="1" applyFont="1" applyFill="1" applyBorder="1"/>
    <xf numFmtId="3" fontId="2" fillId="2" borderId="1" xfId="0" applyNumberFormat="1" applyFont="1" applyFill="1" applyBorder="1"/>
    <xf numFmtId="3" fontId="2" fillId="6" borderId="1" xfId="0" applyNumberFormat="1" applyFont="1" applyFill="1" applyBorder="1"/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 applyAlignment="1">
      <alignment vertical="center" wrapText="1"/>
    </xf>
    <xf numFmtId="0" fontId="9" fillId="2" borderId="0" xfId="0" applyFont="1" applyFill="1"/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9" fillId="4" borderId="0" xfId="0" applyFont="1" applyFill="1"/>
    <xf numFmtId="0" fontId="9" fillId="4" borderId="0" xfId="0" applyFont="1" applyFill="1" applyAlignment="1">
      <alignment vertical="center" wrapText="1"/>
    </xf>
    <xf numFmtId="0" fontId="8" fillId="5" borderId="6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9" fontId="8" fillId="3" borderId="1" xfId="1" applyFont="1" applyFill="1" applyBorder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9" fontId="8" fillId="2" borderId="0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9" fontId="9" fillId="3" borderId="1" xfId="1" applyFont="1" applyFill="1" applyBorder="1" applyAlignment="1">
      <alignment horizontal="center" vertical="center" wrapText="1"/>
    </xf>
    <xf numFmtId="9" fontId="9" fillId="2" borderId="1" xfId="1" applyFont="1" applyFill="1" applyBorder="1" applyAlignment="1">
      <alignment horizontal="center" vertical="center" wrapText="1"/>
    </xf>
    <xf numFmtId="9" fontId="9" fillId="0" borderId="1" xfId="1" applyFont="1" applyFill="1" applyBorder="1" applyAlignment="1">
      <alignment horizontal="center" vertical="center" wrapText="1"/>
    </xf>
    <xf numFmtId="165" fontId="8" fillId="3" borderId="1" xfId="1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165" fontId="9" fillId="2" borderId="0" xfId="1" applyNumberFormat="1" applyFont="1" applyFill="1" applyBorder="1" applyAlignment="1">
      <alignment horizontal="center" vertical="center" wrapText="1"/>
    </xf>
    <xf numFmtId="3" fontId="8" fillId="3" borderId="1" xfId="1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/>
    </xf>
    <xf numFmtId="4" fontId="8" fillId="6" borderId="1" xfId="0" applyNumberFormat="1" applyFont="1" applyFill="1" applyBorder="1" applyAlignment="1">
      <alignment horizontal="center" vertical="center" wrapText="1"/>
    </xf>
    <xf numFmtId="4" fontId="8" fillId="6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wrapText="1"/>
    </xf>
    <xf numFmtId="0" fontId="9" fillId="2" borderId="1" xfId="0" applyFont="1" applyFill="1" applyBorder="1" applyAlignment="1">
      <alignment vertical="center" wrapText="1"/>
    </xf>
    <xf numFmtId="9" fontId="9" fillId="3" borderId="1" xfId="0" applyNumberFormat="1" applyFont="1" applyFill="1" applyBorder="1" applyAlignment="1">
      <alignment horizontal="center" vertical="center" wrapText="1"/>
    </xf>
    <xf numFmtId="9" fontId="9" fillId="2" borderId="0" xfId="0" applyNumberFormat="1" applyFont="1" applyFill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" fontId="9" fillId="2" borderId="0" xfId="0" applyNumberFormat="1" applyFont="1" applyFill="1" applyAlignment="1">
      <alignment vertical="center" wrapText="1"/>
    </xf>
    <xf numFmtId="3" fontId="9" fillId="3" borderId="1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left" vertical="center" wrapText="1"/>
    </xf>
    <xf numFmtId="3" fontId="9" fillId="2" borderId="0" xfId="0" applyNumberFormat="1" applyFont="1" applyFill="1" applyAlignment="1">
      <alignment horizontal="right" vertical="center" wrapText="1"/>
    </xf>
    <xf numFmtId="3" fontId="9" fillId="2" borderId="2" xfId="0" applyNumberFormat="1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vertical="center" wrapText="1"/>
    </xf>
    <xf numFmtId="3" fontId="9" fillId="0" borderId="1" xfId="0" applyNumberFormat="1" applyFont="1" applyBorder="1" applyAlignment="1">
      <alignment horizontal="right" vertical="center" wrapText="1"/>
    </xf>
    <xf numFmtId="0" fontId="9" fillId="4" borderId="0" xfId="0" applyFont="1" applyFill="1" applyAlignment="1">
      <alignment horizontal="right" vertical="center" wrapText="1"/>
    </xf>
    <xf numFmtId="0" fontId="9" fillId="4" borderId="0" xfId="0" applyFont="1" applyFill="1" applyAlignment="1">
      <alignment horizontal="right"/>
    </xf>
    <xf numFmtId="0" fontId="9" fillId="2" borderId="0" xfId="0" applyFont="1" applyFill="1" applyAlignment="1">
      <alignment horizontal="right" vertical="center" wrapText="1"/>
    </xf>
    <xf numFmtId="0" fontId="11" fillId="2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wrapText="1"/>
    </xf>
    <xf numFmtId="3" fontId="8" fillId="6" borderId="1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Alignment="1">
      <alignment vertical="center" wrapText="1"/>
    </xf>
    <xf numFmtId="0" fontId="8" fillId="5" borderId="6" xfId="0" applyFont="1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9" fillId="2" borderId="8" xfId="0" applyFont="1" applyFill="1" applyBorder="1" applyAlignment="1">
      <alignment horizontal="center" vertical="center"/>
    </xf>
    <xf numFmtId="4" fontId="9" fillId="2" borderId="8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 wrapText="1"/>
    </xf>
    <xf numFmtId="4" fontId="8" fillId="6" borderId="1" xfId="0" applyNumberFormat="1" applyFont="1" applyFill="1" applyBorder="1" applyAlignment="1">
      <alignment horizontal="right"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right" vertical="center" wrapText="1"/>
    </xf>
    <xf numFmtId="4" fontId="9" fillId="2" borderId="0" xfId="0" applyNumberFormat="1" applyFont="1" applyFill="1" applyAlignment="1">
      <alignment horizontal="right" vertical="center" wrapText="1"/>
    </xf>
    <xf numFmtId="0" fontId="8" fillId="6" borderId="7" xfId="0" applyFont="1" applyFill="1" applyBorder="1" applyAlignment="1">
      <alignment vertical="center" wrapText="1"/>
    </xf>
    <xf numFmtId="0" fontId="8" fillId="6" borderId="7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9" fillId="0" borderId="4" xfId="0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right" vertical="center" wrapText="1"/>
    </xf>
    <xf numFmtId="0" fontId="8" fillId="2" borderId="0" xfId="0" applyFont="1" applyFill="1"/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3" fontId="8" fillId="7" borderId="1" xfId="0" applyNumberFormat="1" applyFont="1" applyFill="1" applyBorder="1" applyAlignment="1">
      <alignment horizontal="center" vertical="center" wrapText="1"/>
    </xf>
    <xf numFmtId="4" fontId="8" fillId="7" borderId="1" xfId="0" applyNumberFormat="1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right" vertical="center" wrapText="1"/>
    </xf>
    <xf numFmtId="3" fontId="9" fillId="7" borderId="2" xfId="0" applyNumberFormat="1" applyFont="1" applyFill="1" applyBorder="1" applyAlignment="1">
      <alignment horizontal="right" vertical="center" wrapText="1"/>
    </xf>
    <xf numFmtId="4" fontId="8" fillId="8" borderId="1" xfId="0" applyNumberFormat="1" applyFont="1" applyFill="1" applyBorder="1" applyAlignment="1">
      <alignment horizontal="right" vertical="center" wrapText="1"/>
    </xf>
    <xf numFmtId="9" fontId="9" fillId="7" borderId="1" xfId="0" applyNumberFormat="1" applyFont="1" applyFill="1" applyBorder="1" applyAlignment="1">
      <alignment horizontal="center" vertical="center" wrapText="1"/>
    </xf>
    <xf numFmtId="4" fontId="12" fillId="7" borderId="1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4D8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2"/>
  <sheetViews>
    <sheetView tabSelected="1" topLeftCell="B149" zoomScale="70" zoomScaleNormal="70" zoomScaleSheetLayoutView="90" workbookViewId="0">
      <selection activeCell="H162" sqref="H162:I162"/>
    </sheetView>
  </sheetViews>
  <sheetFormatPr defaultColWidth="9.140625" defaultRowHeight="16.5" x14ac:dyDescent="0.25"/>
  <cols>
    <col min="1" max="1" width="4.42578125" style="11" customWidth="1"/>
    <col min="2" max="2" width="5" style="14" customWidth="1"/>
    <col min="3" max="3" width="81.7109375" style="16" customWidth="1"/>
    <col min="4" max="4" width="5.140625" style="14" customWidth="1"/>
    <col min="5" max="5" width="15" style="15" customWidth="1"/>
    <col min="6" max="6" width="5.140625" style="14" customWidth="1"/>
    <col min="7" max="7" width="16" style="16" customWidth="1"/>
    <col min="8" max="9" width="15.7109375" style="16" customWidth="1"/>
    <col min="10" max="10" width="5.28515625" style="14" customWidth="1"/>
    <col min="11" max="11" width="10.28515625" style="5" bestFit="1" customWidth="1"/>
    <col min="12" max="12" width="9.140625" style="5"/>
    <col min="13" max="13" width="9.42578125" style="1" bestFit="1" customWidth="1"/>
    <col min="14" max="14" width="0" style="1" hidden="1" customWidth="1"/>
    <col min="15" max="16384" width="9.140625" style="1"/>
  </cols>
  <sheetData>
    <row r="1" spans="2:14" x14ac:dyDescent="0.25">
      <c r="B1" s="12" t="s">
        <v>99</v>
      </c>
      <c r="C1" s="13"/>
    </row>
    <row r="2" spans="2:14" ht="49.5" customHeight="1" x14ac:dyDescent="0.25">
      <c r="B2" s="107" t="s">
        <v>95</v>
      </c>
      <c r="C2" s="107"/>
      <c r="D2" s="107"/>
      <c r="E2" s="107"/>
      <c r="F2" s="107"/>
      <c r="G2" s="107"/>
      <c r="H2" s="107"/>
      <c r="I2" s="107"/>
      <c r="J2" s="107"/>
    </row>
    <row r="4" spans="2:14" x14ac:dyDescent="0.25">
      <c r="N4" s="10" t="s">
        <v>17</v>
      </c>
    </row>
    <row r="5" spans="2:14" ht="17.25" thickBot="1" x14ac:dyDescent="0.3">
      <c r="B5" s="17"/>
      <c r="C5" s="18"/>
      <c r="D5" s="17"/>
      <c r="E5" s="17"/>
      <c r="F5" s="17"/>
      <c r="G5" s="18"/>
      <c r="H5" s="18"/>
      <c r="I5" s="18"/>
      <c r="J5" s="17"/>
      <c r="N5" s="10" t="s">
        <v>18</v>
      </c>
    </row>
    <row r="6" spans="2:14" ht="21.75" customHeight="1" thickBot="1" x14ac:dyDescent="0.3">
      <c r="B6" s="17"/>
      <c r="C6" s="19" t="s">
        <v>4</v>
      </c>
      <c r="D6" s="17"/>
      <c r="E6" s="17"/>
      <c r="F6" s="17"/>
      <c r="G6" s="18"/>
      <c r="H6" s="18"/>
      <c r="I6" s="18"/>
      <c r="J6" s="17"/>
    </row>
    <row r="7" spans="2:14" x14ac:dyDescent="0.25">
      <c r="B7" s="17"/>
      <c r="C7" s="18"/>
      <c r="D7" s="17"/>
      <c r="E7" s="17"/>
      <c r="F7" s="17"/>
      <c r="G7" s="18"/>
      <c r="H7" s="18"/>
      <c r="I7" s="18"/>
      <c r="J7" s="17"/>
      <c r="L7" s="7"/>
      <c r="M7" s="3" t="s">
        <v>1</v>
      </c>
    </row>
    <row r="8" spans="2:14" x14ac:dyDescent="0.25">
      <c r="B8" s="17"/>
      <c r="C8" s="20" t="s">
        <v>29</v>
      </c>
      <c r="E8" s="21" t="s">
        <v>5</v>
      </c>
      <c r="G8" s="98">
        <v>8215</v>
      </c>
      <c r="J8" s="17"/>
      <c r="L8" s="8"/>
      <c r="M8" s="3" t="s">
        <v>2</v>
      </c>
    </row>
    <row r="9" spans="2:14" x14ac:dyDescent="0.25">
      <c r="B9" s="17"/>
      <c r="C9" s="13"/>
      <c r="G9" s="22"/>
      <c r="J9" s="17"/>
      <c r="L9" s="9"/>
      <c r="M9" s="3" t="s">
        <v>3</v>
      </c>
    </row>
    <row r="10" spans="2:14" ht="33" customHeight="1" x14ac:dyDescent="0.25">
      <c r="B10" s="17"/>
      <c r="C10" s="20" t="s">
        <v>96</v>
      </c>
      <c r="E10" s="23" t="s">
        <v>6</v>
      </c>
      <c r="G10" s="24">
        <v>1</v>
      </c>
      <c r="J10" s="17"/>
      <c r="M10" s="3"/>
    </row>
    <row r="11" spans="2:14" x14ac:dyDescent="0.25">
      <c r="B11" s="17"/>
      <c r="J11" s="17"/>
    </row>
    <row r="12" spans="2:14" x14ac:dyDescent="0.25">
      <c r="B12" s="17"/>
      <c r="C12" s="20" t="s">
        <v>30</v>
      </c>
      <c r="E12" s="21" t="s">
        <v>44</v>
      </c>
      <c r="G12" s="99">
        <f>351.87*G15*1000/G8/365</f>
        <v>9.9747204829121472E-2</v>
      </c>
      <c r="J12" s="17"/>
    </row>
    <row r="13" spans="2:14" x14ac:dyDescent="0.25">
      <c r="B13" s="17"/>
      <c r="J13" s="17"/>
    </row>
    <row r="14" spans="2:14" x14ac:dyDescent="0.25">
      <c r="B14" s="17"/>
      <c r="C14" s="20" t="s">
        <v>31</v>
      </c>
      <c r="E14" s="23" t="s">
        <v>6</v>
      </c>
      <c r="G14" s="25">
        <f>SUM(G15:G16)</f>
        <v>1</v>
      </c>
      <c r="H14" s="26"/>
      <c r="I14" s="26"/>
      <c r="J14" s="17"/>
    </row>
    <row r="15" spans="2:14" x14ac:dyDescent="0.25">
      <c r="B15" s="17"/>
      <c r="C15" s="27" t="s">
        <v>40</v>
      </c>
      <c r="E15" s="21" t="s">
        <v>6</v>
      </c>
      <c r="G15" s="28">
        <v>0.85</v>
      </c>
      <c r="J15" s="17"/>
    </row>
    <row r="16" spans="2:14" x14ac:dyDescent="0.25">
      <c r="B16" s="17"/>
      <c r="C16" s="27" t="s">
        <v>41</v>
      </c>
      <c r="E16" s="21" t="s">
        <v>6</v>
      </c>
      <c r="G16" s="29">
        <f>1-G15</f>
        <v>0.15000000000000002</v>
      </c>
      <c r="J16" s="17"/>
      <c r="M16" s="4"/>
    </row>
    <row r="17" spans="2:10" x14ac:dyDescent="0.25">
      <c r="B17" s="17"/>
      <c r="J17" s="17"/>
    </row>
    <row r="18" spans="2:10" ht="18.75" customHeight="1" x14ac:dyDescent="0.25">
      <c r="B18" s="17"/>
      <c r="C18" s="20" t="s">
        <v>45</v>
      </c>
      <c r="E18" s="23" t="s">
        <v>6</v>
      </c>
      <c r="G18" s="25">
        <f>SUM(G19:G21)</f>
        <v>1</v>
      </c>
      <c r="J18" s="17"/>
    </row>
    <row r="19" spans="2:10" x14ac:dyDescent="0.25">
      <c r="B19" s="17"/>
      <c r="C19" s="27" t="s">
        <v>46</v>
      </c>
      <c r="E19" s="21" t="s">
        <v>6</v>
      </c>
      <c r="G19" s="28">
        <v>0.20100000000000001</v>
      </c>
      <c r="J19" s="17"/>
    </row>
    <row r="20" spans="2:10" x14ac:dyDescent="0.25">
      <c r="B20" s="17"/>
      <c r="C20" s="27" t="s">
        <v>47</v>
      </c>
      <c r="E20" s="21" t="s">
        <v>6</v>
      </c>
      <c r="G20" s="28">
        <v>0</v>
      </c>
      <c r="J20" s="17"/>
    </row>
    <row r="21" spans="2:10" x14ac:dyDescent="0.25">
      <c r="B21" s="17"/>
      <c r="C21" s="27" t="s">
        <v>48</v>
      </c>
      <c r="E21" s="21" t="s">
        <v>6</v>
      </c>
      <c r="G21" s="30">
        <f>1-G19-G20</f>
        <v>0.79899999999999993</v>
      </c>
      <c r="J21" s="17"/>
    </row>
    <row r="22" spans="2:10" x14ac:dyDescent="0.25">
      <c r="B22" s="17"/>
      <c r="J22" s="17"/>
    </row>
    <row r="23" spans="2:10" ht="18" customHeight="1" x14ac:dyDescent="0.25">
      <c r="B23" s="17"/>
      <c r="C23" s="27" t="s">
        <v>97</v>
      </c>
      <c r="E23" s="21" t="s">
        <v>51</v>
      </c>
      <c r="G23" s="31">
        <v>0.154</v>
      </c>
      <c r="J23" s="17"/>
    </row>
    <row r="24" spans="2:10" ht="18" customHeight="1" x14ac:dyDescent="0.25">
      <c r="B24" s="17"/>
      <c r="C24" s="32"/>
      <c r="G24" s="33"/>
      <c r="J24" s="17"/>
    </row>
    <row r="25" spans="2:10" ht="18" customHeight="1" x14ac:dyDescent="0.25">
      <c r="B25" s="17"/>
      <c r="C25" s="27" t="s">
        <v>16</v>
      </c>
      <c r="E25" s="21" t="s">
        <v>77</v>
      </c>
      <c r="G25" s="34">
        <v>160</v>
      </c>
      <c r="J25" s="17"/>
    </row>
    <row r="26" spans="2:10" ht="18" customHeight="1" x14ac:dyDescent="0.25">
      <c r="B26" s="17"/>
      <c r="C26" s="27" t="s">
        <v>21</v>
      </c>
      <c r="E26" s="21" t="s">
        <v>6</v>
      </c>
      <c r="G26" s="24">
        <v>0.19</v>
      </c>
      <c r="J26" s="17"/>
    </row>
    <row r="27" spans="2:10" ht="18" customHeight="1" x14ac:dyDescent="0.25">
      <c r="B27" s="17"/>
      <c r="C27" s="32"/>
      <c r="G27" s="33"/>
      <c r="J27" s="17"/>
    </row>
    <row r="28" spans="2:10" ht="33" customHeight="1" x14ac:dyDescent="0.25">
      <c r="B28" s="17"/>
      <c r="C28" s="27" t="s">
        <v>32</v>
      </c>
      <c r="E28" s="21" t="s">
        <v>6</v>
      </c>
      <c r="G28" s="24">
        <v>0.9022</v>
      </c>
      <c r="J28" s="17"/>
    </row>
    <row r="29" spans="2:10" ht="18" customHeight="1" x14ac:dyDescent="0.25">
      <c r="B29" s="17"/>
      <c r="C29" s="32"/>
      <c r="G29" s="26"/>
      <c r="J29" s="17"/>
    </row>
    <row r="30" spans="2:10" ht="18" customHeight="1" x14ac:dyDescent="0.25">
      <c r="B30" s="17"/>
      <c r="C30" s="27" t="s">
        <v>52</v>
      </c>
      <c r="G30" s="24" t="s">
        <v>17</v>
      </c>
      <c r="J30" s="17"/>
    </row>
    <row r="31" spans="2:10" ht="18" customHeight="1" x14ac:dyDescent="0.25">
      <c r="B31" s="17"/>
      <c r="C31" s="27" t="s">
        <v>53</v>
      </c>
      <c r="G31" s="24" t="s">
        <v>18</v>
      </c>
      <c r="J31" s="17"/>
    </row>
    <row r="32" spans="2:10" ht="17.25" thickBot="1" x14ac:dyDescent="0.3">
      <c r="B32" s="17"/>
      <c r="C32" s="35"/>
      <c r="D32" s="17"/>
      <c r="E32" s="17"/>
      <c r="F32" s="17"/>
      <c r="G32" s="18"/>
      <c r="H32" s="18"/>
      <c r="I32" s="18"/>
      <c r="J32" s="17"/>
    </row>
    <row r="33" spans="2:10" ht="25.5" customHeight="1" thickBot="1" x14ac:dyDescent="0.3">
      <c r="B33" s="17"/>
      <c r="C33" s="19" t="s">
        <v>42</v>
      </c>
      <c r="D33" s="17"/>
      <c r="E33" s="17"/>
      <c r="F33" s="17"/>
      <c r="G33" s="18"/>
      <c r="H33" s="18"/>
      <c r="I33" s="18"/>
      <c r="J33" s="17"/>
    </row>
    <row r="34" spans="2:10" x14ac:dyDescent="0.25">
      <c r="B34" s="17"/>
      <c r="C34" s="35"/>
      <c r="D34" s="17"/>
      <c r="E34" s="17"/>
      <c r="F34" s="17"/>
      <c r="G34" s="18"/>
      <c r="H34" s="18"/>
      <c r="I34" s="18"/>
      <c r="J34" s="17"/>
    </row>
    <row r="35" spans="2:10" ht="33" x14ac:dyDescent="0.25">
      <c r="B35" s="17"/>
      <c r="C35" s="20" t="s">
        <v>54</v>
      </c>
      <c r="E35" s="23" t="s">
        <v>72</v>
      </c>
      <c r="G35" s="36" t="s">
        <v>13</v>
      </c>
      <c r="H35" s="36" t="s">
        <v>12</v>
      </c>
      <c r="I35" s="37"/>
      <c r="J35" s="17"/>
    </row>
    <row r="36" spans="2:10" x14ac:dyDescent="0.25">
      <c r="B36" s="17"/>
      <c r="C36" s="27" t="s">
        <v>98</v>
      </c>
      <c r="E36" s="21" t="s">
        <v>72</v>
      </c>
      <c r="G36" s="38">
        <f>$G$12*$G$8*365/12*$G19/1000</f>
        <v>5.0097491249999999</v>
      </c>
      <c r="H36" s="38">
        <f>G36*$G$16/$G$15</f>
        <v>0.88407337500000005</v>
      </c>
      <c r="I36" s="39"/>
      <c r="J36" s="17"/>
    </row>
    <row r="37" spans="2:10" x14ac:dyDescent="0.25">
      <c r="B37" s="17"/>
      <c r="C37" s="27" t="s">
        <v>47</v>
      </c>
      <c r="E37" s="21" t="s">
        <v>72</v>
      </c>
      <c r="G37" s="38">
        <f>$G$12*$G$8*365/12*$G20/1000</f>
        <v>0</v>
      </c>
      <c r="H37" s="38">
        <f t="shared" ref="H37" si="0">G37*$G$16/$G$15</f>
        <v>0</v>
      </c>
      <c r="I37" s="39"/>
      <c r="J37" s="17"/>
    </row>
    <row r="38" spans="2:10" x14ac:dyDescent="0.25">
      <c r="B38" s="17"/>
      <c r="C38" s="27" t="s">
        <v>48</v>
      </c>
      <c r="E38" s="21" t="s">
        <v>72</v>
      </c>
      <c r="G38" s="38">
        <f>$G$12*$G$8*365/12*$G21/1000</f>
        <v>19.914375874999998</v>
      </c>
      <c r="H38" s="38">
        <f>G38*$G$16/$G$15</f>
        <v>3.5143016250000003</v>
      </c>
      <c r="I38" s="39"/>
      <c r="J38" s="17"/>
    </row>
    <row r="39" spans="2:10" ht="19.5" customHeight="1" x14ac:dyDescent="0.25">
      <c r="B39" s="17"/>
      <c r="C39" s="40" t="s">
        <v>55</v>
      </c>
      <c r="E39" s="41" t="s">
        <v>72</v>
      </c>
      <c r="G39" s="42">
        <f>SUM(G36:G38)</f>
        <v>24.924124999999997</v>
      </c>
      <c r="H39" s="42">
        <f>SUM(H36:H38)</f>
        <v>4.3983750000000006</v>
      </c>
      <c r="I39" s="43"/>
      <c r="J39" s="17"/>
    </row>
    <row r="40" spans="2:10" x14ac:dyDescent="0.25">
      <c r="B40" s="17"/>
      <c r="C40" s="44"/>
      <c r="E40" s="14"/>
      <c r="J40" s="17"/>
    </row>
    <row r="41" spans="2:10" x14ac:dyDescent="0.25">
      <c r="B41" s="17"/>
      <c r="C41" s="20" t="s">
        <v>56</v>
      </c>
      <c r="J41" s="17"/>
    </row>
    <row r="42" spans="2:10" ht="49.5" x14ac:dyDescent="0.25">
      <c r="B42" s="17"/>
      <c r="C42" s="45" t="s">
        <v>100</v>
      </c>
      <c r="E42" s="21" t="s">
        <v>6</v>
      </c>
      <c r="G42" s="46">
        <v>0.7</v>
      </c>
      <c r="J42" s="17"/>
    </row>
    <row r="43" spans="2:10" ht="29.25" customHeight="1" x14ac:dyDescent="0.25">
      <c r="B43" s="17"/>
      <c r="C43" s="45" t="s">
        <v>101</v>
      </c>
      <c r="E43" s="21" t="s">
        <v>6</v>
      </c>
      <c r="G43" s="46">
        <v>0.75</v>
      </c>
      <c r="J43" s="17"/>
    </row>
    <row r="44" spans="2:10" ht="27.75" customHeight="1" x14ac:dyDescent="0.25">
      <c r="B44" s="17"/>
      <c r="C44" s="45" t="s">
        <v>102</v>
      </c>
      <c r="E44" s="21" t="s">
        <v>6</v>
      </c>
      <c r="G44" s="46">
        <v>0.1</v>
      </c>
      <c r="J44" s="17"/>
    </row>
    <row r="45" spans="2:10" ht="27.75" customHeight="1" x14ac:dyDescent="0.25">
      <c r="B45" s="17"/>
      <c r="C45" s="45" t="s">
        <v>103</v>
      </c>
      <c r="E45" s="21" t="s">
        <v>6</v>
      </c>
      <c r="G45" s="103">
        <v>0.01</v>
      </c>
      <c r="J45" s="17"/>
    </row>
    <row r="46" spans="2:10" ht="66" x14ac:dyDescent="0.25">
      <c r="B46" s="17"/>
      <c r="C46" s="45" t="s">
        <v>104</v>
      </c>
      <c r="E46" s="21" t="s">
        <v>6</v>
      </c>
      <c r="G46" s="103">
        <v>0.01</v>
      </c>
      <c r="J46" s="17"/>
    </row>
    <row r="47" spans="2:10" ht="33" x14ac:dyDescent="0.25">
      <c r="B47" s="17"/>
      <c r="C47" s="45" t="s">
        <v>105</v>
      </c>
      <c r="E47" s="21" t="s">
        <v>6</v>
      </c>
      <c r="G47" s="103">
        <v>0</v>
      </c>
      <c r="J47" s="17"/>
    </row>
    <row r="48" spans="2:10" x14ac:dyDescent="0.25">
      <c r="B48" s="17"/>
      <c r="G48" s="47"/>
      <c r="J48" s="17"/>
    </row>
    <row r="49" spans="2:10" ht="33" x14ac:dyDescent="0.25">
      <c r="B49" s="17"/>
      <c r="C49" s="20" t="s">
        <v>57</v>
      </c>
      <c r="E49" s="23" t="s">
        <v>72</v>
      </c>
      <c r="G49" s="36" t="s">
        <v>13</v>
      </c>
      <c r="H49" s="36" t="s">
        <v>12</v>
      </c>
      <c r="I49" s="37"/>
      <c r="J49" s="17"/>
    </row>
    <row r="50" spans="2:10" x14ac:dyDescent="0.25">
      <c r="B50" s="17"/>
      <c r="C50" s="27" t="s">
        <v>49</v>
      </c>
      <c r="E50" s="21" t="s">
        <v>72</v>
      </c>
      <c r="G50" s="38">
        <f>G36*$G$42</f>
        <v>3.5068243874999996</v>
      </c>
      <c r="H50" s="38">
        <f>H36*$G$42</f>
        <v>0.61885136249999995</v>
      </c>
      <c r="I50" s="39"/>
      <c r="J50" s="17"/>
    </row>
    <row r="51" spans="2:10" x14ac:dyDescent="0.25">
      <c r="B51" s="17"/>
      <c r="C51" s="27" t="s">
        <v>47</v>
      </c>
      <c r="E51" s="21" t="s">
        <v>72</v>
      </c>
      <c r="G51" s="48">
        <v>0.01</v>
      </c>
      <c r="H51" s="48">
        <v>0.01</v>
      </c>
      <c r="I51" s="39"/>
      <c r="J51" s="17"/>
    </row>
    <row r="52" spans="2:10" x14ac:dyDescent="0.25">
      <c r="B52" s="17"/>
      <c r="C52" s="27" t="s">
        <v>48</v>
      </c>
      <c r="E52" s="21" t="s">
        <v>72</v>
      </c>
      <c r="G52" s="48">
        <f>G39-G50-G51</f>
        <v>21.407300612499995</v>
      </c>
      <c r="H52" s="48">
        <f>H39-H50-H51</f>
        <v>3.7695236375000007</v>
      </c>
      <c r="I52" s="39"/>
      <c r="J52" s="17"/>
    </row>
    <row r="53" spans="2:10" ht="19.5" customHeight="1" x14ac:dyDescent="0.25">
      <c r="B53" s="17"/>
      <c r="C53" s="40" t="s">
        <v>58</v>
      </c>
      <c r="E53" s="41" t="s">
        <v>72</v>
      </c>
      <c r="G53" s="42">
        <f>SUM(G50:G52)</f>
        <v>24.924124999999993</v>
      </c>
      <c r="H53" s="42">
        <f>SUM(H50:H52)</f>
        <v>4.3983750000000006</v>
      </c>
      <c r="I53" s="49"/>
      <c r="J53" s="17"/>
    </row>
    <row r="54" spans="2:10" x14ac:dyDescent="0.25">
      <c r="B54" s="17"/>
      <c r="G54" s="49"/>
      <c r="H54" s="49"/>
      <c r="I54" s="49"/>
      <c r="J54" s="17"/>
    </row>
    <row r="55" spans="2:10" x14ac:dyDescent="0.25">
      <c r="B55" s="17"/>
      <c r="C55" s="20" t="s">
        <v>65</v>
      </c>
      <c r="J55" s="17"/>
    </row>
    <row r="56" spans="2:10" x14ac:dyDescent="0.25">
      <c r="B56" s="17"/>
      <c r="C56" s="27" t="s">
        <v>59</v>
      </c>
      <c r="E56" s="21" t="s">
        <v>72</v>
      </c>
      <c r="G56" s="50">
        <f>IF(G8&gt;0,G50+H50-G66,"-")</f>
        <v>4.1256757499999992</v>
      </c>
      <c r="J56" s="17"/>
    </row>
    <row r="57" spans="2:10" x14ac:dyDescent="0.25">
      <c r="B57" s="17"/>
      <c r="C57" s="27" t="s">
        <v>60</v>
      </c>
      <c r="E57" s="21" t="s">
        <v>72</v>
      </c>
      <c r="G57" s="50">
        <f>20%*(G51+H51)</f>
        <v>4.0000000000000001E-3</v>
      </c>
      <c r="J57" s="17"/>
    </row>
    <row r="58" spans="2:10" x14ac:dyDescent="0.25">
      <c r="B58" s="17"/>
      <c r="C58" s="27" t="s">
        <v>66</v>
      </c>
      <c r="E58" s="21" t="s">
        <v>72</v>
      </c>
      <c r="G58" s="50">
        <f>G51+H51-G57</f>
        <v>1.6E-2</v>
      </c>
      <c r="J58" s="17"/>
    </row>
    <row r="59" spans="2:10" ht="17.25" x14ac:dyDescent="0.25">
      <c r="B59" s="17"/>
      <c r="C59" s="27" t="s">
        <v>61</v>
      </c>
      <c r="E59" s="21" t="s">
        <v>72</v>
      </c>
      <c r="G59" s="104">
        <f>IF(G30="DA",G56*(1-G43),0)+IF(G31="DA",G57*G44,0)</f>
        <v>1.0314189374999998</v>
      </c>
      <c r="J59" s="17"/>
    </row>
    <row r="60" spans="2:10" ht="17.25" x14ac:dyDescent="0.25">
      <c r="B60" s="17"/>
      <c r="C60" s="27" t="s">
        <v>62</v>
      </c>
      <c r="E60" s="21" t="s">
        <v>72</v>
      </c>
      <c r="G60" s="104">
        <f>IF(G8&gt;0,G58*G45+G59*G46+IF(G30="NU",G56*(1-G43),0)+IF(G31="NU",G57*G44,0),"-")+G52+H52</f>
        <v>25.187698439374994</v>
      </c>
      <c r="H60" s="51"/>
      <c r="J60" s="17"/>
    </row>
    <row r="61" spans="2:10" ht="17.25" thickBot="1" x14ac:dyDescent="0.3">
      <c r="B61" s="17"/>
      <c r="C61" s="35"/>
      <c r="D61" s="17"/>
      <c r="E61" s="17"/>
      <c r="F61" s="17"/>
      <c r="G61" s="18"/>
      <c r="H61" s="18"/>
      <c r="I61" s="18"/>
      <c r="J61" s="17"/>
    </row>
    <row r="62" spans="2:10" ht="26.25" customHeight="1" thickBot="1" x14ac:dyDescent="0.3">
      <c r="B62" s="17"/>
      <c r="C62" s="19" t="s">
        <v>124</v>
      </c>
      <c r="D62" s="17"/>
      <c r="E62" s="17"/>
      <c r="F62" s="17"/>
      <c r="G62" s="18"/>
      <c r="H62" s="18"/>
      <c r="I62" s="18"/>
      <c r="J62" s="17"/>
    </row>
    <row r="63" spans="2:10" x14ac:dyDescent="0.25">
      <c r="B63" s="17"/>
      <c r="C63" s="35"/>
      <c r="D63" s="17"/>
      <c r="E63" s="17"/>
      <c r="F63" s="17"/>
      <c r="G63" s="18"/>
      <c r="H63" s="18"/>
      <c r="I63" s="18"/>
      <c r="J63" s="17"/>
    </row>
    <row r="64" spans="2:10" ht="29.25" customHeight="1" x14ac:dyDescent="0.25">
      <c r="B64" s="17"/>
      <c r="C64" s="20" t="s">
        <v>7</v>
      </c>
      <c r="J64" s="17"/>
    </row>
    <row r="65" spans="2:10" ht="33" x14ac:dyDescent="0.25">
      <c r="B65" s="17"/>
      <c r="C65" s="27" t="s">
        <v>121</v>
      </c>
      <c r="E65" s="21" t="s">
        <v>77</v>
      </c>
      <c r="G65" s="52">
        <v>846.43</v>
      </c>
      <c r="H65" s="105"/>
      <c r="I65" s="53"/>
      <c r="J65" s="17"/>
    </row>
    <row r="66" spans="2:10" x14ac:dyDescent="0.25">
      <c r="B66" s="17"/>
      <c r="C66" s="45" t="s">
        <v>33</v>
      </c>
      <c r="E66" s="54" t="s">
        <v>72</v>
      </c>
      <c r="G66" s="52">
        <v>0</v>
      </c>
      <c r="H66" s="105"/>
      <c r="I66" s="53"/>
      <c r="J66" s="17"/>
    </row>
    <row r="67" spans="2:10" ht="33" x14ac:dyDescent="0.25">
      <c r="B67" s="17"/>
      <c r="C67" s="45" t="s">
        <v>122</v>
      </c>
      <c r="E67" s="21" t="s">
        <v>77</v>
      </c>
      <c r="G67" s="52">
        <v>0</v>
      </c>
      <c r="H67" s="105"/>
      <c r="I67" s="53"/>
      <c r="J67" s="17"/>
    </row>
    <row r="68" spans="2:10" ht="13.15" customHeight="1" x14ac:dyDescent="0.25">
      <c r="B68" s="17"/>
      <c r="C68" s="45" t="s">
        <v>80</v>
      </c>
      <c r="E68" s="54" t="s">
        <v>77</v>
      </c>
      <c r="G68" s="55">
        <f>IF(G8&gt;0,(G65*(G50+H50)-G66*G67)/(G50+H50),"-")</f>
        <v>846.43</v>
      </c>
      <c r="H68" s="105"/>
      <c r="I68" s="53"/>
      <c r="J68" s="17"/>
    </row>
    <row r="69" spans="2:10" x14ac:dyDescent="0.25">
      <c r="B69" s="17"/>
      <c r="C69" s="27" t="s">
        <v>34</v>
      </c>
      <c r="E69" s="21" t="s">
        <v>77</v>
      </c>
      <c r="G69" s="52">
        <v>0</v>
      </c>
      <c r="H69" s="105"/>
      <c r="I69" s="53"/>
      <c r="J69" s="17"/>
    </row>
    <row r="70" spans="2:10" x14ac:dyDescent="0.25">
      <c r="B70" s="17"/>
      <c r="C70" s="27" t="s">
        <v>35</v>
      </c>
      <c r="E70" s="21" t="s">
        <v>77</v>
      </c>
      <c r="G70" s="52">
        <v>414.35</v>
      </c>
      <c r="H70" s="105"/>
      <c r="I70" s="53"/>
      <c r="J70" s="17"/>
    </row>
    <row r="71" spans="2:10" x14ac:dyDescent="0.25">
      <c r="B71" s="17"/>
      <c r="C71" s="56"/>
      <c r="E71" s="57"/>
      <c r="G71" s="58"/>
      <c r="H71" s="106"/>
      <c r="I71" s="53"/>
      <c r="J71" s="17"/>
    </row>
    <row r="72" spans="2:10" x14ac:dyDescent="0.25">
      <c r="B72" s="17"/>
      <c r="C72" s="59" t="s">
        <v>36</v>
      </c>
      <c r="G72" s="60"/>
      <c r="H72" s="106"/>
      <c r="I72" s="53"/>
      <c r="J72" s="17"/>
    </row>
    <row r="73" spans="2:10" x14ac:dyDescent="0.25">
      <c r="B73" s="17"/>
      <c r="C73" s="27" t="s">
        <v>37</v>
      </c>
      <c r="E73" s="21" t="s">
        <v>77</v>
      </c>
      <c r="G73" s="52">
        <v>0</v>
      </c>
      <c r="H73" s="105"/>
      <c r="I73" s="53"/>
      <c r="J73" s="17"/>
    </row>
    <row r="74" spans="2:10" x14ac:dyDescent="0.25">
      <c r="B74" s="17"/>
      <c r="C74" s="27" t="s">
        <v>38</v>
      </c>
      <c r="E74" s="21" t="s">
        <v>77</v>
      </c>
      <c r="G74" s="52">
        <v>0</v>
      </c>
      <c r="H74" s="105"/>
      <c r="I74" s="53"/>
      <c r="J74" s="17"/>
    </row>
    <row r="75" spans="2:10" x14ac:dyDescent="0.25">
      <c r="B75" s="17"/>
      <c r="C75" s="27" t="s">
        <v>39</v>
      </c>
      <c r="E75" s="21" t="s">
        <v>77</v>
      </c>
      <c r="G75" s="52">
        <v>0</v>
      </c>
      <c r="H75" s="105"/>
      <c r="I75" s="53"/>
      <c r="J75" s="17"/>
    </row>
    <row r="76" spans="2:10" x14ac:dyDescent="0.25">
      <c r="B76" s="17"/>
      <c r="C76" s="56"/>
      <c r="E76" s="57"/>
      <c r="G76" s="58"/>
      <c r="H76" s="106"/>
      <c r="I76" s="53"/>
      <c r="J76" s="17"/>
    </row>
    <row r="77" spans="2:10" ht="33" x14ac:dyDescent="0.25">
      <c r="B77" s="17"/>
      <c r="C77" s="59" t="s">
        <v>8</v>
      </c>
      <c r="G77" s="60"/>
      <c r="H77" s="106"/>
      <c r="I77" s="53"/>
      <c r="J77" s="17"/>
    </row>
    <row r="78" spans="2:10" x14ac:dyDescent="0.25">
      <c r="B78" s="17"/>
      <c r="C78" s="45" t="s">
        <v>81</v>
      </c>
      <c r="E78" s="21" t="s">
        <v>77</v>
      </c>
      <c r="G78" s="52">
        <v>281.27999999999997</v>
      </c>
      <c r="H78" s="105"/>
      <c r="I78" s="53"/>
      <c r="J78" s="17"/>
    </row>
    <row r="79" spans="2:10" x14ac:dyDescent="0.25">
      <c r="B79" s="17"/>
      <c r="C79" s="45" t="s">
        <v>33</v>
      </c>
      <c r="E79" s="54" t="s">
        <v>72</v>
      </c>
      <c r="G79" s="101">
        <v>1.26</v>
      </c>
      <c r="H79" s="105"/>
      <c r="I79" s="53"/>
      <c r="J79" s="17"/>
    </row>
    <row r="80" spans="2:10" ht="33" x14ac:dyDescent="0.25">
      <c r="B80" s="17"/>
      <c r="C80" s="45" t="s">
        <v>122</v>
      </c>
      <c r="E80" s="21" t="s">
        <v>77</v>
      </c>
      <c r="G80" s="101">
        <v>62.3</v>
      </c>
      <c r="H80" s="105"/>
      <c r="I80" s="53"/>
      <c r="J80" s="17"/>
    </row>
    <row r="81" spans="2:10" x14ac:dyDescent="0.25">
      <c r="B81" s="17"/>
      <c r="C81" s="45" t="s">
        <v>82</v>
      </c>
      <c r="E81" s="21" t="s">
        <v>77</v>
      </c>
      <c r="G81" s="61">
        <f>IF(G8&gt;0,(G78*G56-G79*G80)/G56,"-")</f>
        <v>262.25329873778855</v>
      </c>
      <c r="H81" s="105"/>
      <c r="I81" s="53"/>
      <c r="J81" s="17"/>
    </row>
    <row r="82" spans="2:10" x14ac:dyDescent="0.25">
      <c r="B82" s="17"/>
      <c r="C82" s="62"/>
      <c r="G82" s="60"/>
      <c r="H82" s="106"/>
      <c r="I82" s="53"/>
      <c r="J82" s="17"/>
    </row>
    <row r="83" spans="2:10" ht="33" x14ac:dyDescent="0.25">
      <c r="B83" s="17"/>
      <c r="C83" s="59" t="s">
        <v>67</v>
      </c>
      <c r="G83" s="60"/>
      <c r="H83" s="106"/>
      <c r="I83" s="53"/>
      <c r="J83" s="17"/>
    </row>
    <row r="84" spans="2:10" x14ac:dyDescent="0.25">
      <c r="B84" s="17"/>
      <c r="C84" s="45" t="s">
        <v>83</v>
      </c>
      <c r="E84" s="21" t="s">
        <v>77</v>
      </c>
      <c r="G84" s="52">
        <v>180.21</v>
      </c>
      <c r="H84" s="105"/>
      <c r="I84" s="53"/>
      <c r="J84" s="17"/>
    </row>
    <row r="85" spans="2:10" x14ac:dyDescent="0.25">
      <c r="B85" s="17"/>
      <c r="C85" s="45" t="s">
        <v>63</v>
      </c>
      <c r="E85" s="54" t="s">
        <v>72</v>
      </c>
      <c r="G85" s="52">
        <v>0</v>
      </c>
      <c r="H85" s="105"/>
      <c r="I85" s="53"/>
      <c r="J85" s="17"/>
    </row>
    <row r="86" spans="2:10" x14ac:dyDescent="0.25">
      <c r="B86" s="17"/>
      <c r="C86" s="45" t="s">
        <v>123</v>
      </c>
      <c r="E86" s="21" t="s">
        <v>77</v>
      </c>
      <c r="G86" s="52">
        <v>0</v>
      </c>
      <c r="H86" s="105"/>
      <c r="I86" s="53"/>
      <c r="J86" s="17"/>
    </row>
    <row r="87" spans="2:10" x14ac:dyDescent="0.25">
      <c r="B87" s="17"/>
      <c r="C87" s="45" t="s">
        <v>84</v>
      </c>
      <c r="E87" s="21" t="s">
        <v>77</v>
      </c>
      <c r="G87" s="55">
        <f>IF(G8&gt;0,(G84*G57-G85*G86)/G57,"-")</f>
        <v>180.21</v>
      </c>
      <c r="H87" s="105"/>
      <c r="I87" s="53"/>
      <c r="J87" s="17"/>
    </row>
    <row r="88" spans="2:10" x14ac:dyDescent="0.25">
      <c r="B88" s="17"/>
      <c r="C88" s="62"/>
      <c r="E88" s="57"/>
      <c r="G88" s="58"/>
      <c r="H88" s="106"/>
      <c r="I88" s="53"/>
      <c r="J88" s="17"/>
    </row>
    <row r="89" spans="2:10" ht="33" x14ac:dyDescent="0.25">
      <c r="B89" s="17"/>
      <c r="C89" s="59" t="s">
        <v>68</v>
      </c>
      <c r="G89" s="60"/>
      <c r="H89" s="106"/>
      <c r="I89" s="53"/>
      <c r="J89" s="17"/>
    </row>
    <row r="90" spans="2:10" x14ac:dyDescent="0.25">
      <c r="B90" s="17"/>
      <c r="C90" s="45" t="s">
        <v>83</v>
      </c>
      <c r="E90" s="21" t="s">
        <v>77</v>
      </c>
      <c r="G90" s="52">
        <v>0</v>
      </c>
      <c r="H90" s="106"/>
      <c r="I90" s="53"/>
      <c r="J90" s="17"/>
    </row>
    <row r="91" spans="2:10" x14ac:dyDescent="0.25">
      <c r="B91" s="17"/>
      <c r="C91" s="45" t="s">
        <v>9</v>
      </c>
      <c r="E91" s="54" t="s">
        <v>72</v>
      </c>
      <c r="G91" s="52">
        <v>0</v>
      </c>
      <c r="H91" s="106"/>
      <c r="I91" s="53"/>
      <c r="J91" s="17"/>
    </row>
    <row r="92" spans="2:10" x14ac:dyDescent="0.25">
      <c r="B92" s="17"/>
      <c r="C92" s="45" t="s">
        <v>123</v>
      </c>
      <c r="E92" s="21" t="s">
        <v>77</v>
      </c>
      <c r="G92" s="52">
        <v>0</v>
      </c>
      <c r="H92" s="106"/>
      <c r="I92" s="53"/>
      <c r="J92" s="17"/>
    </row>
    <row r="93" spans="2:10" ht="15" customHeight="1" x14ac:dyDescent="0.25">
      <c r="B93" s="17"/>
      <c r="C93" s="45" t="s">
        <v>85</v>
      </c>
      <c r="E93" s="21" t="s">
        <v>77</v>
      </c>
      <c r="G93" s="55">
        <f>IF(G8&gt;0,(G90*G58-G91*G92)/G58,"-")</f>
        <v>0</v>
      </c>
      <c r="H93" s="106"/>
      <c r="I93" s="53"/>
      <c r="J93" s="17"/>
    </row>
    <row r="94" spans="2:10" x14ac:dyDescent="0.25">
      <c r="B94" s="17"/>
      <c r="C94" s="62"/>
      <c r="G94" s="60"/>
      <c r="H94" s="106"/>
      <c r="I94" s="53"/>
      <c r="J94" s="17"/>
    </row>
    <row r="95" spans="2:10" ht="33" x14ac:dyDescent="0.25">
      <c r="B95" s="17"/>
      <c r="C95" s="59" t="s">
        <v>10</v>
      </c>
      <c r="G95" s="60"/>
      <c r="H95" s="106"/>
      <c r="I95" s="53"/>
      <c r="J95" s="17"/>
    </row>
    <row r="96" spans="2:10" ht="18" customHeight="1" x14ac:dyDescent="0.25">
      <c r="B96" s="17"/>
      <c r="C96" s="45" t="s">
        <v>86</v>
      </c>
      <c r="E96" s="21" t="s">
        <v>77</v>
      </c>
      <c r="G96" s="52">
        <v>155.35</v>
      </c>
      <c r="H96" s="105"/>
      <c r="I96" s="53"/>
      <c r="J96" s="17"/>
    </row>
    <row r="97" spans="1:12" ht="18" customHeight="1" x14ac:dyDescent="0.25">
      <c r="B97" s="17"/>
      <c r="C97" s="45" t="s">
        <v>64</v>
      </c>
      <c r="E97" s="54" t="s">
        <v>72</v>
      </c>
      <c r="G97" s="63">
        <f>IF(G8&gt;0,G59*G47,"-")</f>
        <v>0</v>
      </c>
      <c r="H97" s="106"/>
      <c r="I97" s="53"/>
      <c r="J97" s="17"/>
    </row>
    <row r="98" spans="1:12" ht="30" customHeight="1" x14ac:dyDescent="0.25">
      <c r="B98" s="17"/>
      <c r="C98" s="45" t="s">
        <v>122</v>
      </c>
      <c r="E98" s="21" t="s">
        <v>77</v>
      </c>
      <c r="G98" s="100">
        <f>G80</f>
        <v>62.3</v>
      </c>
      <c r="H98" s="106"/>
      <c r="I98" s="53"/>
      <c r="J98" s="17"/>
    </row>
    <row r="99" spans="1:12" ht="18" customHeight="1" x14ac:dyDescent="0.25">
      <c r="B99" s="17"/>
      <c r="C99" s="45" t="s">
        <v>87</v>
      </c>
      <c r="E99" s="21" t="s">
        <v>77</v>
      </c>
      <c r="G99" s="55">
        <f>IF(G8&gt;0,(G96*G59-G97*G98)/G59,"-")</f>
        <v>155.35</v>
      </c>
      <c r="H99" s="106"/>
      <c r="I99" s="53"/>
      <c r="J99" s="17"/>
    </row>
    <row r="100" spans="1:12" x14ac:dyDescent="0.25">
      <c r="B100" s="17"/>
      <c r="C100" s="62"/>
      <c r="E100" s="57"/>
      <c r="G100" s="58"/>
      <c r="H100" s="106"/>
      <c r="I100" s="53"/>
      <c r="J100" s="17"/>
    </row>
    <row r="101" spans="1:12" ht="18" customHeight="1" x14ac:dyDescent="0.25">
      <c r="B101" s="17"/>
      <c r="C101" s="59" t="s">
        <v>11</v>
      </c>
      <c r="G101" s="60"/>
      <c r="H101" s="106"/>
      <c r="I101" s="53"/>
      <c r="J101" s="17"/>
    </row>
    <row r="102" spans="1:12" ht="19.899999999999999" customHeight="1" x14ac:dyDescent="0.25">
      <c r="B102" s="17"/>
      <c r="C102" s="45" t="s">
        <v>0</v>
      </c>
      <c r="E102" s="21" t="s">
        <v>77</v>
      </c>
      <c r="G102" s="52">
        <v>95.08</v>
      </c>
      <c r="H102" s="105"/>
      <c r="I102" s="53"/>
      <c r="J102" s="17"/>
    </row>
    <row r="103" spans="1:12" ht="17.25" thickBot="1" x14ac:dyDescent="0.3">
      <c r="B103" s="17"/>
      <c r="C103" s="18"/>
      <c r="D103" s="17"/>
      <c r="E103" s="17"/>
      <c r="F103" s="17"/>
      <c r="G103" s="64"/>
      <c r="H103" s="18"/>
      <c r="I103" s="18"/>
      <c r="J103" s="17"/>
    </row>
    <row r="104" spans="1:12" ht="37.5" customHeight="1" thickBot="1" x14ac:dyDescent="0.3">
      <c r="B104" s="17"/>
      <c r="C104" s="19" t="s">
        <v>43</v>
      </c>
      <c r="D104" s="17"/>
      <c r="E104" s="17"/>
      <c r="F104" s="17"/>
      <c r="G104" s="65"/>
      <c r="H104" s="17"/>
      <c r="I104" s="17"/>
      <c r="J104" s="17"/>
    </row>
    <row r="105" spans="1:12" x14ac:dyDescent="0.25">
      <c r="B105" s="17"/>
      <c r="C105" s="18"/>
      <c r="D105" s="17"/>
      <c r="E105" s="17"/>
      <c r="F105" s="17"/>
      <c r="G105" s="64"/>
      <c r="H105" s="18"/>
      <c r="I105" s="18"/>
      <c r="J105" s="17"/>
    </row>
    <row r="106" spans="1:12" s="2" customFormat="1" ht="28.5" customHeight="1" x14ac:dyDescent="0.25">
      <c r="A106" s="11"/>
      <c r="B106" s="17"/>
      <c r="C106" s="59" t="s">
        <v>125</v>
      </c>
      <c r="D106" s="14"/>
      <c r="E106" s="14"/>
      <c r="F106" s="14"/>
      <c r="G106" s="66"/>
      <c r="H106" s="16"/>
      <c r="I106" s="16"/>
      <c r="J106" s="17"/>
      <c r="K106" s="6"/>
      <c r="L106" s="6"/>
    </row>
    <row r="107" spans="1:12" s="2" customFormat="1" ht="33" x14ac:dyDescent="0.25">
      <c r="A107" s="11"/>
      <c r="B107" s="17"/>
      <c r="C107" s="45" t="s">
        <v>106</v>
      </c>
      <c r="D107" s="14"/>
      <c r="E107" s="21" t="s">
        <v>73</v>
      </c>
      <c r="F107" s="14"/>
      <c r="G107" s="55">
        <f>IF(G8&gt;0,G68*(G50+H50),"-")</f>
        <v>3492.0957250724991</v>
      </c>
      <c r="H107" s="16"/>
      <c r="I107" s="16"/>
      <c r="J107" s="17"/>
      <c r="K107" s="6"/>
      <c r="L107" s="6"/>
    </row>
    <row r="108" spans="1:12" s="2" customFormat="1" ht="33" x14ac:dyDescent="0.25">
      <c r="A108" s="11"/>
      <c r="B108" s="17"/>
      <c r="C108" s="45" t="s">
        <v>107</v>
      </c>
      <c r="D108" s="14"/>
      <c r="E108" s="21" t="s">
        <v>73</v>
      </c>
      <c r="F108" s="14"/>
      <c r="G108" s="55">
        <f>IF(G8&gt;0,G73*(G50+H50),"-")</f>
        <v>0</v>
      </c>
      <c r="H108" s="16"/>
      <c r="I108" s="16"/>
      <c r="J108" s="17"/>
      <c r="K108" s="6"/>
      <c r="L108" s="6"/>
    </row>
    <row r="109" spans="1:12" s="2" customFormat="1" ht="33" x14ac:dyDescent="0.25">
      <c r="A109" s="11"/>
      <c r="B109" s="17"/>
      <c r="C109" s="45" t="s">
        <v>108</v>
      </c>
      <c r="D109" s="14"/>
      <c r="E109" s="21" t="s">
        <v>73</v>
      </c>
      <c r="F109" s="14"/>
      <c r="G109" s="55">
        <f>IF(G8&gt;0,G81*G56,"-")</f>
        <v>1081.9720749599996</v>
      </c>
      <c r="H109" s="16"/>
      <c r="I109" s="16"/>
      <c r="J109" s="17"/>
      <c r="K109" s="6"/>
      <c r="L109" s="6"/>
    </row>
    <row r="110" spans="1:12" s="2" customFormat="1" x14ac:dyDescent="0.25">
      <c r="A110" s="11"/>
      <c r="B110" s="17"/>
      <c r="C110" s="67" t="s">
        <v>19</v>
      </c>
      <c r="D110" s="14"/>
      <c r="E110" s="21" t="s">
        <v>73</v>
      </c>
      <c r="F110" s="14"/>
      <c r="G110" s="55">
        <f>IF(G8&gt;0,IF($G$30="DA",$G$56*(1-$G$43)*G99,0),"-")</f>
        <v>160.23093194062497</v>
      </c>
      <c r="H110" s="16"/>
      <c r="I110" s="16"/>
      <c r="J110" s="17"/>
      <c r="K110" s="6"/>
      <c r="L110" s="6"/>
    </row>
    <row r="111" spans="1:12" s="2" customFormat="1" x14ac:dyDescent="0.25">
      <c r="A111" s="11"/>
      <c r="B111" s="17"/>
      <c r="C111" s="45" t="s">
        <v>20</v>
      </c>
      <c r="D111" s="14"/>
      <c r="E111" s="21" t="s">
        <v>73</v>
      </c>
      <c r="F111" s="14"/>
      <c r="G111" s="55">
        <f>IF(G8&gt;0,IF($G$30="NU",$G$56*(1-$G$43)*G102,0),"-")</f>
        <v>0</v>
      </c>
      <c r="H111" s="16"/>
      <c r="I111" s="16"/>
      <c r="J111" s="17"/>
      <c r="K111" s="6"/>
      <c r="L111" s="6"/>
    </row>
    <row r="112" spans="1:12" s="2" customFormat="1" ht="33" x14ac:dyDescent="0.25">
      <c r="A112" s="11"/>
      <c r="B112" s="17"/>
      <c r="C112" s="45" t="s">
        <v>127</v>
      </c>
      <c r="D112" s="14"/>
      <c r="E112" s="21" t="s">
        <v>73</v>
      </c>
      <c r="F112" s="14"/>
      <c r="G112" s="55">
        <f>IF(G8&gt;0,IF(G30="NU",G56*(1-G43)*CEC,0),"-")</f>
        <v>0</v>
      </c>
      <c r="H112" s="16"/>
      <c r="I112" s="16"/>
      <c r="J112" s="17"/>
      <c r="K112" s="6"/>
      <c r="L112" s="6"/>
    </row>
    <row r="113" spans="1:12" s="2" customFormat="1" ht="29.25" customHeight="1" x14ac:dyDescent="0.25">
      <c r="A113" s="11"/>
      <c r="B113" s="17"/>
      <c r="C113" s="68" t="s">
        <v>118</v>
      </c>
      <c r="D113" s="14"/>
      <c r="E113" s="41" t="s">
        <v>77</v>
      </c>
      <c r="F113" s="14"/>
      <c r="G113" s="69">
        <f>IF(G8&gt;0,(G107+G108+G109+G110+G111+G112)/(G50+H50),"-")</f>
        <v>1147.5207987377885</v>
      </c>
      <c r="H113" s="16"/>
      <c r="I113" s="16"/>
      <c r="J113" s="17"/>
      <c r="K113" s="6"/>
      <c r="L113" s="6"/>
    </row>
    <row r="114" spans="1:12" s="2" customFormat="1" x14ac:dyDescent="0.25">
      <c r="A114" s="11"/>
      <c r="B114" s="17"/>
      <c r="C114" s="16"/>
      <c r="D114" s="14"/>
      <c r="E114" s="14"/>
      <c r="F114" s="14"/>
      <c r="G114" s="66"/>
      <c r="H114" s="16"/>
      <c r="I114" s="16"/>
      <c r="J114" s="17"/>
      <c r="K114" s="6"/>
      <c r="L114" s="6"/>
    </row>
    <row r="115" spans="1:12" s="2" customFormat="1" ht="33" x14ac:dyDescent="0.25">
      <c r="A115" s="11"/>
      <c r="B115" s="17"/>
      <c r="C115" s="59" t="s">
        <v>50</v>
      </c>
      <c r="D115" s="14"/>
      <c r="E115" s="14"/>
      <c r="F115" s="14"/>
      <c r="G115" s="66"/>
      <c r="H115" s="16"/>
      <c r="I115" s="16"/>
      <c r="J115" s="17"/>
      <c r="K115" s="6"/>
      <c r="L115" s="6"/>
    </row>
    <row r="116" spans="1:12" s="2" customFormat="1" x14ac:dyDescent="0.25">
      <c r="A116" s="11"/>
      <c r="B116" s="17"/>
      <c r="C116" s="45" t="s">
        <v>109</v>
      </c>
      <c r="D116" s="14"/>
      <c r="E116" s="21" t="s">
        <v>73</v>
      </c>
      <c r="F116" s="14"/>
      <c r="G116" s="55">
        <f>IF(G8&gt;0,(G52+H52)*G70,"-")</f>
        <v>10432.017127987499</v>
      </c>
      <c r="H116" s="16"/>
      <c r="I116" s="16"/>
      <c r="J116" s="17"/>
      <c r="K116" s="6"/>
      <c r="L116" s="6"/>
    </row>
    <row r="117" spans="1:12" s="2" customFormat="1" x14ac:dyDescent="0.25">
      <c r="A117" s="11"/>
      <c r="B117" s="17"/>
      <c r="C117" s="45" t="s">
        <v>110</v>
      </c>
      <c r="D117" s="14"/>
      <c r="E117" s="21" t="s">
        <v>73</v>
      </c>
      <c r="F117" s="14"/>
      <c r="G117" s="55">
        <f>IF(G8&gt;0,(G51+H51)*G69,"-")</f>
        <v>0</v>
      </c>
      <c r="H117" s="16"/>
      <c r="I117" s="16"/>
      <c r="J117" s="17"/>
      <c r="K117" s="6"/>
      <c r="L117" s="6"/>
    </row>
    <row r="118" spans="1:12" s="2" customFormat="1" x14ac:dyDescent="0.25">
      <c r="A118" s="11"/>
      <c r="B118" s="17"/>
      <c r="C118" s="45" t="s">
        <v>111</v>
      </c>
      <c r="D118" s="14"/>
      <c r="E118" s="21" t="s">
        <v>73</v>
      </c>
      <c r="F118" s="14"/>
      <c r="G118" s="55">
        <f>IF(G8&gt;0,(G52+H52)*G75,"-")</f>
        <v>0</v>
      </c>
      <c r="H118" s="16"/>
      <c r="I118" s="16"/>
      <c r="J118" s="17"/>
      <c r="K118" s="6"/>
      <c r="L118" s="6"/>
    </row>
    <row r="119" spans="1:12" s="2" customFormat="1" x14ac:dyDescent="0.25">
      <c r="A119" s="11"/>
      <c r="B119" s="17"/>
      <c r="C119" s="45" t="s">
        <v>112</v>
      </c>
      <c r="D119" s="14"/>
      <c r="E119" s="21" t="s">
        <v>73</v>
      </c>
      <c r="F119" s="14"/>
      <c r="G119" s="55">
        <f>IF(G8&gt;0,(G51+H51)*G74,"-")</f>
        <v>0</v>
      </c>
      <c r="H119" s="16"/>
      <c r="I119" s="16"/>
      <c r="J119" s="17"/>
      <c r="K119" s="6"/>
      <c r="L119" s="6"/>
    </row>
    <row r="120" spans="1:12" s="2" customFormat="1" x14ac:dyDescent="0.25">
      <c r="A120" s="11"/>
      <c r="B120" s="17"/>
      <c r="C120" s="45" t="s">
        <v>131</v>
      </c>
      <c r="D120" s="14"/>
      <c r="E120" s="21" t="s">
        <v>73</v>
      </c>
      <c r="F120" s="14"/>
      <c r="G120" s="55">
        <f>IF(G8&gt;0,G59*G99,"-")</f>
        <v>160.23093194062497</v>
      </c>
      <c r="H120" s="16"/>
      <c r="I120" s="16"/>
      <c r="J120" s="17"/>
      <c r="K120" s="6"/>
      <c r="L120" s="6"/>
    </row>
    <row r="121" spans="1:12" s="2" customFormat="1" x14ac:dyDescent="0.25">
      <c r="A121" s="11"/>
      <c r="B121" s="17"/>
      <c r="C121" s="45" t="s">
        <v>113</v>
      </c>
      <c r="D121" s="14"/>
      <c r="E121" s="21" t="s">
        <v>73</v>
      </c>
      <c r="F121" s="14"/>
      <c r="G121" s="55">
        <f>IF(G8&gt;0,G87*G57,"-")</f>
        <v>0.72084000000000004</v>
      </c>
      <c r="H121" s="16"/>
      <c r="I121" s="16"/>
      <c r="J121" s="17"/>
      <c r="K121" s="6"/>
      <c r="L121" s="6"/>
    </row>
    <row r="122" spans="1:12" s="2" customFormat="1" x14ac:dyDescent="0.25">
      <c r="A122" s="11"/>
      <c r="B122" s="17"/>
      <c r="C122" s="45" t="s">
        <v>114</v>
      </c>
      <c r="D122" s="14"/>
      <c r="E122" s="21" t="s">
        <v>73</v>
      </c>
      <c r="F122" s="14"/>
      <c r="G122" s="55">
        <f>IF(G8&gt;0,G93*G58,"-")</f>
        <v>0</v>
      </c>
      <c r="H122" s="16"/>
      <c r="I122" s="16"/>
      <c r="J122" s="17"/>
      <c r="K122" s="6"/>
      <c r="L122" s="6"/>
    </row>
    <row r="123" spans="1:12" s="2" customFormat="1" x14ac:dyDescent="0.25">
      <c r="A123" s="11"/>
      <c r="B123" s="17"/>
      <c r="C123" s="45" t="s">
        <v>69</v>
      </c>
      <c r="D123" s="14"/>
      <c r="E123" s="21" t="s">
        <v>73</v>
      </c>
      <c r="F123" s="14"/>
      <c r="G123" s="55">
        <f>IF(G8&gt;0,IF(G31="DA",G57*G44*G99,0),"-")</f>
        <v>0</v>
      </c>
      <c r="H123" s="16"/>
      <c r="I123" s="16"/>
      <c r="J123" s="17"/>
      <c r="K123" s="6"/>
      <c r="L123" s="6"/>
    </row>
    <row r="124" spans="1:12" s="2" customFormat="1" x14ac:dyDescent="0.25">
      <c r="A124" s="11"/>
      <c r="B124" s="17"/>
      <c r="C124" s="45" t="s">
        <v>70</v>
      </c>
      <c r="D124" s="14"/>
      <c r="E124" s="21" t="s">
        <v>73</v>
      </c>
      <c r="F124" s="14"/>
      <c r="G124" s="55">
        <f>IF(G8&gt;0,IF(G31="NU",G57*G44*G102,0),"-")</f>
        <v>3.8032000000000003E-2</v>
      </c>
      <c r="H124" s="16"/>
      <c r="I124" s="16"/>
      <c r="J124" s="17"/>
      <c r="K124" s="6"/>
      <c r="L124" s="6"/>
    </row>
    <row r="125" spans="1:12" s="2" customFormat="1" x14ac:dyDescent="0.25">
      <c r="A125" s="11"/>
      <c r="B125" s="17"/>
      <c r="C125" s="45" t="s">
        <v>94</v>
      </c>
      <c r="D125" s="14"/>
      <c r="E125" s="21" t="s">
        <v>73</v>
      </c>
      <c r="F125" s="14"/>
      <c r="G125" s="55">
        <f>IF(G8&gt;0,G58*G45*G102,"-")</f>
        <v>1.52128E-2</v>
      </c>
      <c r="H125" s="16"/>
      <c r="I125" s="16"/>
      <c r="J125" s="17"/>
      <c r="K125" s="6"/>
      <c r="L125" s="6"/>
    </row>
    <row r="126" spans="1:12" s="2" customFormat="1" ht="33" x14ac:dyDescent="0.25">
      <c r="A126" s="11"/>
      <c r="B126" s="17"/>
      <c r="C126" s="45" t="s">
        <v>71</v>
      </c>
      <c r="D126" s="14"/>
      <c r="E126" s="21" t="s">
        <v>73</v>
      </c>
      <c r="F126" s="14"/>
      <c r="G126" s="55">
        <f>IF(G8&gt;0,G59*G46*G102,"-")</f>
        <v>0.98067312577499977</v>
      </c>
      <c r="H126" s="16"/>
      <c r="I126" s="16"/>
      <c r="J126" s="17"/>
      <c r="K126" s="6"/>
      <c r="L126" s="6"/>
    </row>
    <row r="127" spans="1:12" s="2" customFormat="1" ht="33" x14ac:dyDescent="0.25">
      <c r="A127" s="11"/>
      <c r="B127" s="17"/>
      <c r="C127" s="45" t="s">
        <v>128</v>
      </c>
      <c r="D127" s="14"/>
      <c r="E127" s="21" t="s">
        <v>73</v>
      </c>
      <c r="F127" s="14"/>
      <c r="G127" s="55">
        <f>IF(G8&gt;0,IF(G31="NU",G57*G44*CEC,0),"-")</f>
        <v>6.4000000000000001E-2</v>
      </c>
      <c r="H127" s="16"/>
      <c r="I127" s="16"/>
      <c r="J127" s="17"/>
      <c r="K127" s="6"/>
      <c r="L127" s="6"/>
    </row>
    <row r="128" spans="1:12" s="2" customFormat="1" ht="33" x14ac:dyDescent="0.25">
      <c r="A128" s="11"/>
      <c r="B128" s="17"/>
      <c r="C128" s="45" t="s">
        <v>129</v>
      </c>
      <c r="D128" s="14"/>
      <c r="E128" s="21" t="s">
        <v>73</v>
      </c>
      <c r="F128" s="14"/>
      <c r="G128" s="55">
        <f>IF(G8&gt;0,G58*G45*CEC,"-")</f>
        <v>2.5600000000000001E-2</v>
      </c>
      <c r="H128" s="16"/>
      <c r="I128" s="16"/>
      <c r="J128" s="17"/>
      <c r="K128" s="6"/>
      <c r="L128" s="6"/>
    </row>
    <row r="129" spans="1:12" s="2" customFormat="1" ht="33" x14ac:dyDescent="0.25">
      <c r="A129" s="11"/>
      <c r="B129" s="17"/>
      <c r="C129" s="45" t="s">
        <v>130</v>
      </c>
      <c r="D129" s="14"/>
      <c r="E129" s="21" t="s">
        <v>73</v>
      </c>
      <c r="F129" s="14"/>
      <c r="G129" s="55">
        <f>IF(G8&gt;0,G59*G46*CEC,"-")</f>
        <v>1.6502702999999996</v>
      </c>
      <c r="H129" s="16"/>
      <c r="I129" s="16"/>
      <c r="J129" s="17"/>
      <c r="K129" s="6"/>
      <c r="L129" s="6"/>
    </row>
    <row r="130" spans="1:12" s="2" customFormat="1" ht="34.5" customHeight="1" x14ac:dyDescent="0.25">
      <c r="A130" s="11"/>
      <c r="B130" s="17"/>
      <c r="C130" s="40" t="s">
        <v>117</v>
      </c>
      <c r="D130" s="14"/>
      <c r="E130" s="41" t="s">
        <v>77</v>
      </c>
      <c r="F130" s="14"/>
      <c r="G130" s="69">
        <f>IF(G8&gt;0,(G116+G117+G118+G119+G120+G121+G122+G123+G124+G125+G126+G127+G128+G129)/(G52+H52+G51+H51),"-")</f>
        <v>420.51897425739691</v>
      </c>
      <c r="H130" s="16"/>
      <c r="I130" s="16"/>
      <c r="J130" s="17"/>
      <c r="K130" s="6"/>
      <c r="L130" s="6"/>
    </row>
    <row r="131" spans="1:12" s="2" customFormat="1" ht="17.25" thickBot="1" x14ac:dyDescent="0.3">
      <c r="A131" s="11"/>
      <c r="B131" s="17"/>
      <c r="C131" s="17"/>
      <c r="D131" s="17"/>
      <c r="E131" s="17"/>
      <c r="F131" s="17"/>
      <c r="G131" s="65"/>
      <c r="H131" s="17"/>
      <c r="I131" s="17"/>
      <c r="J131" s="17"/>
      <c r="K131" s="6"/>
      <c r="L131" s="6"/>
    </row>
    <row r="132" spans="1:12" s="2" customFormat="1" ht="21.75" customHeight="1" thickBot="1" x14ac:dyDescent="0.3">
      <c r="A132" s="11"/>
      <c r="B132" s="17"/>
      <c r="C132" s="19" t="s">
        <v>14</v>
      </c>
      <c r="D132" s="17"/>
      <c r="E132" s="17"/>
      <c r="F132" s="17"/>
      <c r="G132" s="65"/>
      <c r="H132" s="17"/>
      <c r="I132" s="17"/>
      <c r="J132" s="17"/>
      <c r="K132" s="6"/>
      <c r="L132" s="6"/>
    </row>
    <row r="133" spans="1:12" s="2" customFormat="1" x14ac:dyDescent="0.25">
      <c r="A133" s="11"/>
      <c r="B133" s="17"/>
      <c r="C133" s="17"/>
      <c r="D133" s="17"/>
      <c r="E133" s="17"/>
      <c r="F133" s="17"/>
      <c r="G133" s="65"/>
      <c r="H133" s="17"/>
      <c r="I133" s="17"/>
      <c r="J133" s="17"/>
      <c r="K133" s="6"/>
      <c r="L133" s="6"/>
    </row>
    <row r="134" spans="1:12" s="2" customFormat="1" ht="33" x14ac:dyDescent="0.25">
      <c r="A134" s="11"/>
      <c r="B134" s="17"/>
      <c r="C134" s="45" t="s">
        <v>115</v>
      </c>
      <c r="D134" s="14"/>
      <c r="E134" s="21" t="s">
        <v>77</v>
      </c>
      <c r="F134" s="14"/>
      <c r="G134" s="55">
        <f>G113</f>
        <v>1147.5207987377885</v>
      </c>
      <c r="H134" s="70"/>
      <c r="I134" s="16"/>
      <c r="J134" s="17"/>
      <c r="K134" s="6"/>
      <c r="L134" s="6"/>
    </row>
    <row r="135" spans="1:12" s="2" customFormat="1" x14ac:dyDescent="0.25">
      <c r="A135" s="11"/>
      <c r="B135" s="17"/>
      <c r="C135" s="45" t="s">
        <v>64</v>
      </c>
      <c r="D135" s="14"/>
      <c r="E135" s="21" t="s">
        <v>72</v>
      </c>
      <c r="F135" s="14"/>
      <c r="G135" s="100">
        <f>G79</f>
        <v>1.26</v>
      </c>
      <c r="H135" s="16"/>
      <c r="I135" s="16"/>
      <c r="J135" s="17"/>
      <c r="K135" s="6"/>
      <c r="L135" s="6"/>
    </row>
    <row r="136" spans="1:12" s="2" customFormat="1" ht="33" x14ac:dyDescent="0.25">
      <c r="A136" s="11"/>
      <c r="B136" s="17"/>
      <c r="C136" s="45" t="s">
        <v>122</v>
      </c>
      <c r="D136" s="14"/>
      <c r="E136" s="21" t="s">
        <v>77</v>
      </c>
      <c r="F136" s="14"/>
      <c r="G136" s="100">
        <f>G98</f>
        <v>62.3</v>
      </c>
      <c r="H136" s="16"/>
      <c r="I136" s="16"/>
      <c r="J136" s="17"/>
      <c r="K136" s="6"/>
      <c r="L136" s="6"/>
    </row>
    <row r="137" spans="1:12" s="2" customFormat="1" x14ac:dyDescent="0.25">
      <c r="A137" s="11"/>
      <c r="B137" s="17"/>
      <c r="C137" s="68" t="s">
        <v>116</v>
      </c>
      <c r="D137" s="14"/>
      <c r="E137" s="41" t="s">
        <v>73</v>
      </c>
      <c r="F137" s="14"/>
      <c r="G137" s="69">
        <f>IF(G8&gt;0,(G134-G136)*G135*G28,"-")</f>
        <v>1233.6486178227533</v>
      </c>
      <c r="H137" s="16"/>
      <c r="I137" s="16"/>
      <c r="J137" s="17"/>
      <c r="K137" s="6"/>
      <c r="L137" s="6"/>
    </row>
    <row r="138" spans="1:12" ht="17.25" thickBot="1" x14ac:dyDescent="0.3">
      <c r="B138" s="17"/>
      <c r="C138" s="18"/>
      <c r="D138" s="17"/>
      <c r="E138" s="17"/>
      <c r="F138" s="17"/>
      <c r="G138" s="64"/>
      <c r="H138" s="18"/>
      <c r="I138" s="18"/>
      <c r="J138" s="17"/>
    </row>
    <row r="139" spans="1:12" ht="17.25" thickBot="1" x14ac:dyDescent="0.3">
      <c r="B139" s="17"/>
      <c r="C139" s="71" t="s">
        <v>22</v>
      </c>
      <c r="D139" s="17"/>
      <c r="E139" s="17"/>
      <c r="F139" s="17"/>
      <c r="G139" s="65"/>
      <c r="H139" s="17"/>
      <c r="I139" s="17"/>
      <c r="J139" s="17"/>
    </row>
    <row r="140" spans="1:12" x14ac:dyDescent="0.25">
      <c r="B140" s="17"/>
      <c r="C140" s="18"/>
      <c r="D140" s="17"/>
      <c r="E140" s="17"/>
      <c r="F140" s="17"/>
      <c r="G140" s="64"/>
      <c r="H140" s="18"/>
      <c r="I140" s="17"/>
      <c r="J140" s="17"/>
    </row>
    <row r="141" spans="1:12" ht="33" x14ac:dyDescent="0.25">
      <c r="B141" s="17"/>
      <c r="C141" s="72" t="s">
        <v>78</v>
      </c>
      <c r="E141" s="73"/>
      <c r="G141" s="74"/>
      <c r="J141" s="17"/>
    </row>
    <row r="142" spans="1:12" ht="33" x14ac:dyDescent="0.25">
      <c r="B142" s="17"/>
      <c r="C142" s="75" t="s">
        <v>126</v>
      </c>
      <c r="E142" s="76" t="s">
        <v>73</v>
      </c>
      <c r="G142" s="77">
        <f>IF(G8&gt;0,(G107+G108+G109+G110+G111)*G15,"-")</f>
        <v>4024.153922177155</v>
      </c>
      <c r="J142" s="17"/>
    </row>
    <row r="143" spans="1:12" ht="33" x14ac:dyDescent="0.25">
      <c r="B143" s="17"/>
      <c r="C143" s="40" t="s">
        <v>119</v>
      </c>
      <c r="E143" s="41" t="s">
        <v>74</v>
      </c>
      <c r="G143" s="78">
        <f>IF(G8&gt;0,G142/G8,"-")</f>
        <v>0.48985440318650697</v>
      </c>
      <c r="J143" s="17"/>
    </row>
    <row r="144" spans="1:12" ht="33" x14ac:dyDescent="0.25">
      <c r="B144" s="17"/>
      <c r="C144" s="40" t="s">
        <v>120</v>
      </c>
      <c r="E144" s="41" t="s">
        <v>74</v>
      </c>
      <c r="G144" s="78">
        <f>IF(G8&gt;0,G143*(1+TVA),"-")</f>
        <v>0.58292673979194332</v>
      </c>
      <c r="J144" s="17"/>
    </row>
    <row r="145" spans="2:10" x14ac:dyDescent="0.25">
      <c r="B145" s="17"/>
      <c r="C145" s="79"/>
      <c r="E145" s="80"/>
      <c r="G145" s="81"/>
      <c r="J145" s="17"/>
    </row>
    <row r="146" spans="2:10" x14ac:dyDescent="0.25">
      <c r="B146" s="17"/>
      <c r="C146" s="72" t="s">
        <v>79</v>
      </c>
      <c r="G146" s="82"/>
      <c r="J146" s="17"/>
    </row>
    <row r="147" spans="2:10" ht="33" x14ac:dyDescent="0.25">
      <c r="B147" s="17"/>
      <c r="C147" s="75" t="s">
        <v>88</v>
      </c>
      <c r="E147" s="76" t="s">
        <v>73</v>
      </c>
      <c r="G147" s="77">
        <f>IF(G8&gt;0,(G116+G117+G118+G119+G120+G121+G122+G123+G124+G125+G126)*G15,"-")</f>
        <v>9004.9023951758154</v>
      </c>
      <c r="J147" s="17"/>
    </row>
    <row r="148" spans="2:10" ht="33" x14ac:dyDescent="0.25">
      <c r="B148" s="17"/>
      <c r="C148" s="40" t="s">
        <v>92</v>
      </c>
      <c r="E148" s="41" t="s">
        <v>74</v>
      </c>
      <c r="G148" s="78">
        <f>IF(G8&gt;0,G147/$G$8,"-")</f>
        <v>1.0961536695284011</v>
      </c>
      <c r="J148" s="17"/>
    </row>
    <row r="149" spans="2:10" ht="33" x14ac:dyDescent="0.25">
      <c r="B149" s="17"/>
      <c r="C149" s="83" t="s">
        <v>93</v>
      </c>
      <c r="E149" s="84" t="s">
        <v>74</v>
      </c>
      <c r="G149" s="78">
        <f>IF(G8&gt;0,G148*(1+TVA),"-")</f>
        <v>1.3044228667387971</v>
      </c>
      <c r="J149" s="17"/>
    </row>
    <row r="150" spans="2:10" x14ac:dyDescent="0.25">
      <c r="B150" s="17"/>
      <c r="C150" s="79"/>
      <c r="D150" s="85"/>
      <c r="E150" s="86"/>
      <c r="F150" s="85"/>
      <c r="G150" s="87"/>
      <c r="J150" s="17"/>
    </row>
    <row r="151" spans="2:10" ht="33" x14ac:dyDescent="0.25">
      <c r="B151" s="17"/>
      <c r="C151" s="45" t="s">
        <v>127</v>
      </c>
      <c r="E151" s="76" t="s">
        <v>74</v>
      </c>
      <c r="G151" s="77">
        <f>IF(G8&gt;0,IF(G30="NU",G112*$G$15/$G$8,0),"-")</f>
        <v>0</v>
      </c>
      <c r="J151" s="17"/>
    </row>
    <row r="152" spans="2:10" ht="33" x14ac:dyDescent="0.25">
      <c r="B152" s="17"/>
      <c r="C152" s="45" t="s">
        <v>128</v>
      </c>
      <c r="E152" s="76" t="s">
        <v>74</v>
      </c>
      <c r="G152" s="77">
        <f>IF(G8&gt;0,IF(G31="NU",G127*$G$15/$G$8,0),"-")</f>
        <v>6.6220328667072427E-6</v>
      </c>
      <c r="J152" s="17"/>
    </row>
    <row r="153" spans="2:10" ht="26.65" customHeight="1" x14ac:dyDescent="0.25">
      <c r="B153" s="17"/>
      <c r="C153" s="45" t="s">
        <v>129</v>
      </c>
      <c r="E153" s="76" t="s">
        <v>74</v>
      </c>
      <c r="G153" s="77">
        <f>IF(G8&gt;0,G128*$G$15/$G$8,"-")</f>
        <v>2.6488131466828974E-6</v>
      </c>
      <c r="J153" s="17"/>
    </row>
    <row r="154" spans="2:10" ht="33" x14ac:dyDescent="0.25">
      <c r="B154" s="17"/>
      <c r="C154" s="45" t="s">
        <v>130</v>
      </c>
      <c r="E154" s="76" t="s">
        <v>74</v>
      </c>
      <c r="G154" s="77">
        <f>IF(G8&gt;0,G129*$G$15/$G$8,"-")</f>
        <v>1.7075225258673157E-4</v>
      </c>
      <c r="J154" s="17"/>
    </row>
    <row r="155" spans="2:10" x14ac:dyDescent="0.25">
      <c r="B155" s="17"/>
      <c r="C155" s="40" t="s">
        <v>23</v>
      </c>
      <c r="E155" s="41" t="s">
        <v>74</v>
      </c>
      <c r="G155" s="78">
        <f>SUM(G151:G154)</f>
        <v>1.8002309860012171E-4</v>
      </c>
      <c r="J155" s="17"/>
    </row>
    <row r="156" spans="2:10" x14ac:dyDescent="0.25">
      <c r="B156" s="17"/>
      <c r="C156" s="40" t="s">
        <v>24</v>
      </c>
      <c r="E156" s="41" t="s">
        <v>74</v>
      </c>
      <c r="F156" s="88"/>
      <c r="G156" s="78">
        <f>G155*(1+TVA)</f>
        <v>2.1422748733414482E-4</v>
      </c>
      <c r="J156" s="17"/>
    </row>
    <row r="157" spans="2:10" x14ac:dyDescent="0.25">
      <c r="B157" s="17"/>
      <c r="C157" s="89"/>
      <c r="E157" s="90"/>
      <c r="F157" s="88"/>
      <c r="G157" s="91"/>
      <c r="J157" s="17"/>
    </row>
    <row r="158" spans="2:10" x14ac:dyDescent="0.25">
      <c r="B158" s="17"/>
      <c r="C158" s="72" t="s">
        <v>25</v>
      </c>
      <c r="E158" s="41" t="s">
        <v>74</v>
      </c>
      <c r="F158" s="88"/>
      <c r="G158" s="78">
        <f>IF(G8&gt;0,G137/G8*G10,"-")</f>
        <v>0.15017025171305579</v>
      </c>
      <c r="J158" s="17"/>
    </row>
    <row r="159" spans="2:10" x14ac:dyDescent="0.25">
      <c r="B159" s="17"/>
      <c r="C159" s="72" t="s">
        <v>26</v>
      </c>
      <c r="E159" s="41" t="s">
        <v>74</v>
      </c>
      <c r="F159" s="88"/>
      <c r="G159" s="78">
        <f>IF(G8&gt;0,G158*(1+TVA),"-")</f>
        <v>0.17870259953853637</v>
      </c>
      <c r="J159" s="17"/>
    </row>
    <row r="160" spans="2:10" x14ac:dyDescent="0.25">
      <c r="B160" s="17"/>
      <c r="C160" s="89"/>
      <c r="E160" s="90"/>
      <c r="F160" s="88"/>
      <c r="G160" s="91"/>
      <c r="J160" s="17"/>
    </row>
    <row r="161" spans="2:10" x14ac:dyDescent="0.25">
      <c r="B161" s="17"/>
      <c r="C161" s="72" t="s">
        <v>89</v>
      </c>
      <c r="E161" s="41" t="s">
        <v>74</v>
      </c>
      <c r="F161" s="88"/>
      <c r="G161" s="78">
        <f>IF(G8&gt;0,G143+G148+G155-G158,"-")</f>
        <v>1.4360178441004523</v>
      </c>
      <c r="J161" s="17"/>
    </row>
    <row r="162" spans="2:10" x14ac:dyDescent="0.25">
      <c r="B162" s="17"/>
      <c r="C162" s="72" t="s">
        <v>90</v>
      </c>
      <c r="E162" s="41" t="s">
        <v>74</v>
      </c>
      <c r="F162" s="88"/>
      <c r="G162" s="102">
        <f>IF(G8&gt;0,G144+G149+G156-G159,"-")</f>
        <v>1.7088612344795384</v>
      </c>
      <c r="J162" s="17"/>
    </row>
    <row r="163" spans="2:10" ht="17.25" thickBot="1" x14ac:dyDescent="0.3">
      <c r="B163" s="17"/>
      <c r="C163" s="18"/>
      <c r="D163" s="17"/>
      <c r="E163" s="17"/>
      <c r="F163" s="17"/>
      <c r="G163" s="18"/>
      <c r="H163" s="18"/>
      <c r="I163" s="17"/>
      <c r="J163" s="17"/>
    </row>
    <row r="164" spans="2:10" ht="17.25" thickBot="1" x14ac:dyDescent="0.3">
      <c r="B164" s="17"/>
      <c r="C164" s="71" t="s">
        <v>27</v>
      </c>
      <c r="D164" s="17"/>
      <c r="E164" s="17"/>
      <c r="F164" s="17"/>
      <c r="G164" s="17"/>
      <c r="H164" s="17"/>
      <c r="I164" s="17"/>
      <c r="J164" s="17"/>
    </row>
    <row r="165" spans="2:10" x14ac:dyDescent="0.25">
      <c r="B165" s="17"/>
      <c r="C165" s="18"/>
      <c r="D165" s="17"/>
      <c r="E165" s="17"/>
      <c r="F165" s="17"/>
      <c r="G165" s="18"/>
      <c r="H165" s="18"/>
      <c r="I165" s="17"/>
      <c r="J165" s="17"/>
    </row>
    <row r="166" spans="2:10" ht="33" x14ac:dyDescent="0.25">
      <c r="B166" s="17"/>
      <c r="C166" s="72" t="s">
        <v>78</v>
      </c>
      <c r="E166" s="73"/>
      <c r="G166" s="36" t="s">
        <v>28</v>
      </c>
      <c r="H166" s="36" t="s">
        <v>75</v>
      </c>
      <c r="I166" s="36" t="s">
        <v>76</v>
      </c>
      <c r="J166" s="17"/>
    </row>
    <row r="167" spans="2:10" ht="33" x14ac:dyDescent="0.25">
      <c r="B167" s="17"/>
      <c r="C167" s="92" t="s">
        <v>78</v>
      </c>
      <c r="E167" s="76" t="s">
        <v>15</v>
      </c>
      <c r="G167" s="93">
        <f>IF(G8&gt;0,(G107+G108+G109+G110+G111)/(G50+H50)*den,"-")</f>
        <v>176.71820300561942</v>
      </c>
      <c r="H167" s="94">
        <f>IF(G8&gt;0,H50/den,"-")</f>
        <v>4.018515340909091</v>
      </c>
      <c r="I167" s="95">
        <f>IF(G8&gt;0,G167*H167,"-")</f>
        <v>710.14480979596863</v>
      </c>
      <c r="J167" s="17"/>
    </row>
    <row r="168" spans="2:10" ht="33" x14ac:dyDescent="0.25">
      <c r="B168" s="17"/>
      <c r="C168" s="45" t="s">
        <v>127</v>
      </c>
      <c r="E168" s="76" t="s">
        <v>15</v>
      </c>
      <c r="G168" s="93">
        <f>IF(G8&gt;0,CEC*den,"-")</f>
        <v>24.64</v>
      </c>
      <c r="H168" s="96">
        <f>IF(G8&gt;0,IF(G30="NU",G56*G16*(1-G43),0)/den,"-")</f>
        <v>0</v>
      </c>
      <c r="I168" s="95">
        <f>IF(G8&gt;0,G168*H168,"-")</f>
        <v>0</v>
      </c>
      <c r="J168" s="17"/>
    </row>
    <row r="169" spans="2:10" x14ac:dyDescent="0.25">
      <c r="B169" s="17"/>
      <c r="C169" s="40" t="s">
        <v>91</v>
      </c>
      <c r="E169" s="41" t="s">
        <v>15</v>
      </c>
      <c r="G169" s="42">
        <f>SUM(G167:G167)</f>
        <v>176.71820300561942</v>
      </c>
      <c r="H169" s="96"/>
      <c r="I169" s="95">
        <f>SUM(I167:I168)</f>
        <v>710.14480979596863</v>
      </c>
      <c r="J169" s="17"/>
    </row>
    <row r="170" spans="2:10" x14ac:dyDescent="0.25">
      <c r="B170" s="17"/>
      <c r="C170" s="79"/>
      <c r="E170" s="80"/>
      <c r="G170" s="97"/>
      <c r="J170" s="17"/>
    </row>
    <row r="171" spans="2:10" x14ac:dyDescent="0.25">
      <c r="B171" s="17"/>
      <c r="C171" s="72" t="s">
        <v>79</v>
      </c>
      <c r="G171" s="39"/>
      <c r="J171" s="17"/>
    </row>
    <row r="172" spans="2:10" ht="33" x14ac:dyDescent="0.25">
      <c r="B172" s="17"/>
      <c r="C172" s="75" t="s">
        <v>88</v>
      </c>
      <c r="E172" s="76" t="s">
        <v>15</v>
      </c>
      <c r="G172" s="93">
        <f>IF(G8&gt;0,(G116+G117+G118+G119+G121+G122+G123+G124+G125+G126+G120+G128+G129)/(G51+H51+G52+H52)*den,"-")</f>
        <v>64.759530875233267</v>
      </c>
      <c r="H172" s="94">
        <f>(H51+H52)/den</f>
        <v>24.542361282467535</v>
      </c>
      <c r="I172" s="95">
        <f>IF(G8&gt;0,G172*H172,"-")</f>
        <v>1589.3518032230859</v>
      </c>
      <c r="J172" s="17"/>
    </row>
    <row r="173" spans="2:10" ht="33" x14ac:dyDescent="0.25">
      <c r="B173" s="17"/>
      <c r="C173" s="45" t="s">
        <v>130</v>
      </c>
      <c r="E173" s="76" t="s">
        <v>15</v>
      </c>
      <c r="G173" s="93">
        <f>IF(G8&gt;0,CEC*den,"-")</f>
        <v>24.64</v>
      </c>
      <c r="H173" s="96">
        <f>(G59*G16*G46+IF(G31="NU",G57*G16*G44,0)+G58*G16*G45)/den</f>
        <v>1.059174289772727E-2</v>
      </c>
      <c r="I173" s="95">
        <f>IF(G8&gt;0,G173*H173,"-")</f>
        <v>0.26098054499999995</v>
      </c>
      <c r="J173" s="17"/>
    </row>
    <row r="174" spans="2:10" x14ac:dyDescent="0.25">
      <c r="B174" s="17"/>
      <c r="C174" s="40" t="s">
        <v>91</v>
      </c>
      <c r="E174" s="41" t="s">
        <v>15</v>
      </c>
      <c r="G174" s="42">
        <f>SUM(G172:G173)</f>
        <v>89.399530875233268</v>
      </c>
      <c r="H174" s="96"/>
      <c r="I174" s="95">
        <f>SUM(I172:I173)</f>
        <v>1589.6127837680858</v>
      </c>
      <c r="J174" s="17"/>
    </row>
    <row r="175" spans="2:10" ht="30.4" customHeight="1" x14ac:dyDescent="0.25">
      <c r="B175" s="17"/>
      <c r="C175" s="18"/>
      <c r="D175" s="17"/>
      <c r="E175" s="17"/>
      <c r="F175" s="17"/>
      <c r="G175" s="18"/>
      <c r="H175" s="18"/>
      <c r="I175" s="18"/>
      <c r="J175" s="17"/>
    </row>
    <row r="176" spans="2:10" x14ac:dyDescent="0.25">
      <c r="H176" s="39"/>
      <c r="I176" s="39"/>
    </row>
    <row r="177" spans="7:12" x14ac:dyDescent="0.25">
      <c r="G177" s="70"/>
      <c r="H177" s="70"/>
      <c r="I177" s="39"/>
    </row>
    <row r="178" spans="7:12" x14ac:dyDescent="0.25">
      <c r="G178" s="70"/>
    </row>
    <row r="179" spans="7:12" x14ac:dyDescent="0.25">
      <c r="G179" s="70"/>
    </row>
    <row r="180" spans="7:12" x14ac:dyDescent="0.25">
      <c r="G180" s="70"/>
    </row>
    <row r="181" spans="7:12" x14ac:dyDescent="0.25">
      <c r="G181" s="70"/>
    </row>
    <row r="182" spans="7:12" x14ac:dyDescent="0.25">
      <c r="G182" s="70"/>
    </row>
    <row r="183" spans="7:12" x14ac:dyDescent="0.25">
      <c r="G183" s="70"/>
    </row>
    <row r="184" spans="7:12" x14ac:dyDescent="0.25">
      <c r="G184" s="70"/>
    </row>
    <row r="186" spans="7:12" x14ac:dyDescent="0.25">
      <c r="G186" s="70"/>
      <c r="H186" s="70"/>
      <c r="I186" s="70"/>
      <c r="K186" s="6"/>
      <c r="L186" s="6"/>
    </row>
    <row r="187" spans="7:12" x14ac:dyDescent="0.25">
      <c r="G187" s="70"/>
      <c r="H187" s="70"/>
      <c r="I187" s="70"/>
      <c r="K187" s="6"/>
      <c r="L187" s="6"/>
    </row>
    <row r="188" spans="7:12" x14ac:dyDescent="0.25">
      <c r="G188" s="70"/>
      <c r="H188" s="70"/>
      <c r="I188" s="70"/>
      <c r="K188" s="6"/>
      <c r="L188" s="6"/>
    </row>
    <row r="189" spans="7:12" x14ac:dyDescent="0.25">
      <c r="G189" s="70"/>
      <c r="K189" s="6"/>
      <c r="L189" s="6"/>
    </row>
    <row r="190" spans="7:12" x14ac:dyDescent="0.25">
      <c r="G190" s="70"/>
      <c r="H190" s="70"/>
      <c r="I190" s="70"/>
      <c r="K190" s="6"/>
      <c r="L190" s="6"/>
    </row>
    <row r="191" spans="7:12" x14ac:dyDescent="0.25">
      <c r="G191" s="70"/>
      <c r="K191" s="6"/>
      <c r="L191" s="6"/>
    </row>
    <row r="192" spans="7:12" x14ac:dyDescent="0.25">
      <c r="G192" s="70"/>
      <c r="H192" s="70"/>
      <c r="I192" s="70"/>
      <c r="K192" s="6"/>
      <c r="L192" s="6"/>
    </row>
    <row r="193" spans="7:12" x14ac:dyDescent="0.25">
      <c r="G193" s="70"/>
      <c r="K193" s="6"/>
      <c r="L193" s="6"/>
    </row>
    <row r="194" spans="7:12" x14ac:dyDescent="0.25">
      <c r="G194" s="70"/>
      <c r="H194" s="70"/>
      <c r="I194" s="70"/>
      <c r="K194" s="6"/>
      <c r="L194" s="6"/>
    </row>
    <row r="195" spans="7:12" x14ac:dyDescent="0.25">
      <c r="G195" s="70"/>
      <c r="K195" s="6"/>
      <c r="L195" s="6"/>
    </row>
    <row r="196" spans="7:12" x14ac:dyDescent="0.25">
      <c r="G196" s="70"/>
      <c r="H196" s="70"/>
      <c r="I196" s="70"/>
      <c r="K196" s="6"/>
      <c r="L196" s="6"/>
    </row>
    <row r="197" spans="7:12" x14ac:dyDescent="0.25">
      <c r="G197" s="70"/>
      <c r="K197" s="6"/>
      <c r="L197" s="6"/>
    </row>
    <row r="198" spans="7:12" x14ac:dyDescent="0.25">
      <c r="G198" s="70"/>
      <c r="H198" s="70"/>
      <c r="I198" s="70"/>
      <c r="K198" s="6"/>
      <c r="L198" s="6"/>
    </row>
    <row r="199" spans="7:12" x14ac:dyDescent="0.25">
      <c r="G199" s="70"/>
      <c r="K199" s="6"/>
      <c r="L199" s="6"/>
    </row>
    <row r="200" spans="7:12" x14ac:dyDescent="0.25">
      <c r="G200" s="70"/>
      <c r="H200" s="70"/>
      <c r="I200" s="70"/>
      <c r="K200" s="6"/>
      <c r="L200" s="6"/>
    </row>
    <row r="201" spans="7:12" x14ac:dyDescent="0.25">
      <c r="G201" s="70"/>
      <c r="K201" s="6"/>
      <c r="L201" s="6"/>
    </row>
    <row r="202" spans="7:12" x14ac:dyDescent="0.25">
      <c r="G202" s="70"/>
      <c r="H202" s="70"/>
      <c r="I202" s="70"/>
      <c r="K202" s="6"/>
      <c r="L202" s="6"/>
    </row>
    <row r="203" spans="7:12" x14ac:dyDescent="0.25">
      <c r="G203" s="70"/>
      <c r="K203" s="6"/>
      <c r="L203" s="6"/>
    </row>
    <row r="204" spans="7:12" x14ac:dyDescent="0.25">
      <c r="K204" s="6"/>
      <c r="L204" s="6"/>
    </row>
    <row r="205" spans="7:12" x14ac:dyDescent="0.25">
      <c r="K205" s="6"/>
      <c r="L205" s="6"/>
    </row>
    <row r="206" spans="7:12" x14ac:dyDescent="0.25">
      <c r="K206" s="6"/>
      <c r="L206" s="6"/>
    </row>
    <row r="207" spans="7:12" x14ac:dyDescent="0.25">
      <c r="K207" s="6"/>
      <c r="L207" s="6"/>
    </row>
    <row r="208" spans="7:12" x14ac:dyDescent="0.25">
      <c r="K208" s="6"/>
      <c r="L208" s="6"/>
    </row>
    <row r="209" spans="11:12" x14ac:dyDescent="0.25">
      <c r="K209" s="6"/>
      <c r="L209" s="6"/>
    </row>
    <row r="210" spans="11:12" x14ac:dyDescent="0.25">
      <c r="K210" s="6"/>
      <c r="L210" s="6"/>
    </row>
    <row r="211" spans="11:12" x14ac:dyDescent="0.25">
      <c r="K211" s="6"/>
      <c r="L211" s="6"/>
    </row>
    <row r="212" spans="11:12" x14ac:dyDescent="0.25">
      <c r="K212" s="6"/>
      <c r="L212" s="6"/>
    </row>
    <row r="213" spans="11:12" x14ac:dyDescent="0.25">
      <c r="K213" s="6"/>
      <c r="L213" s="6"/>
    </row>
    <row r="214" spans="11:12" x14ac:dyDescent="0.25">
      <c r="K214" s="6"/>
      <c r="L214" s="6"/>
    </row>
    <row r="215" spans="11:12" x14ac:dyDescent="0.25">
      <c r="K215" s="6"/>
      <c r="L215" s="6"/>
    </row>
    <row r="216" spans="11:12" x14ac:dyDescent="0.25">
      <c r="K216" s="6"/>
      <c r="L216" s="6"/>
    </row>
    <row r="217" spans="11:12" x14ac:dyDescent="0.25">
      <c r="K217" s="6"/>
      <c r="L217" s="6"/>
    </row>
    <row r="218" spans="11:12" x14ac:dyDescent="0.25">
      <c r="K218" s="6"/>
      <c r="L218" s="6"/>
    </row>
    <row r="219" spans="11:12" x14ac:dyDescent="0.25">
      <c r="K219" s="6"/>
      <c r="L219" s="6"/>
    </row>
    <row r="220" spans="11:12" x14ac:dyDescent="0.25">
      <c r="K220" s="6"/>
      <c r="L220" s="6"/>
    </row>
    <row r="221" spans="11:12" x14ac:dyDescent="0.25">
      <c r="K221" s="6"/>
      <c r="L221" s="6"/>
    </row>
    <row r="222" spans="11:12" x14ac:dyDescent="0.25">
      <c r="K222" s="6"/>
      <c r="L222" s="6"/>
    </row>
  </sheetData>
  <mergeCells count="2">
    <mergeCell ref="H65:H102"/>
    <mergeCell ref="B2:J2"/>
  </mergeCells>
  <dataValidations count="1">
    <dataValidation type="list" allowBlank="1" showInputMessage="1" showErrorMessage="1" sqref="G30:G31" xr:uid="{00000000-0002-0000-0000-000000000000}">
      <formula1>$N$4:$N$5</formula1>
    </dataValidation>
  </dataValidations>
  <pageMargins left="0.7" right="0.7" top="0.75" bottom="0.75" header="0.3" footer="0.3"/>
  <pageSetup scale="51" orientation="portrait" horizontalDpi="1200" verticalDpi="1200" r:id="rId1"/>
  <rowBreaks count="2" manualBreakCount="2">
    <brk id="61" max="10" man="1"/>
    <brk id="13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1</vt:lpstr>
      <vt:lpstr>CEC</vt:lpstr>
      <vt:lpstr>den</vt:lpstr>
      <vt:lpstr>MEN</vt:lpstr>
      <vt:lpstr>OAT</vt:lpstr>
      <vt:lpstr>PJ</vt:lpstr>
      <vt:lpstr>'1'!Print_Area</vt:lpstr>
      <vt:lpstr>SIM</vt:lpstr>
      <vt:lpstr>TVA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2023-03-30T06:19:27Z</cp:lastPrinted>
  <dcterms:created xsi:type="dcterms:W3CDTF">2022-09-06T08:36:57Z</dcterms:created>
  <dcterms:modified xsi:type="dcterms:W3CDTF">2025-08-19T06:30:44Z</dcterms:modified>
</cp:coreProperties>
</file>